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activeTab="0"/>
  </bookViews>
  <sheets>
    <sheet name="Բյուջե-ամփոփ" sheetId="1" r:id="rId1"/>
    <sheet name="2014թ. 4-րդ եռմ." sheetId="2" r:id="rId2"/>
  </sheets>
  <externalReferences>
    <externalReference r:id="rId5"/>
  </externalReferences>
  <definedNames>
    <definedName name="_xlnm.Print_Area" localSheetId="0">'Բյուջե-ամփոփ'!$A$1:$Q$59</definedName>
  </definedNames>
  <calcPr fullCalcOnLoad="1"/>
</workbook>
</file>

<file path=xl/comments1.xml><?xml version="1.0" encoding="utf-8"?>
<comments xmlns="http://schemas.openxmlformats.org/spreadsheetml/2006/main">
  <authors>
    <author>BArmine</author>
  </authors>
  <commentList>
    <comment ref="A4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 Armenian"/>
            <family val="2"/>
          </rPr>
          <t xml:space="preserve">ä³ßïáÝ³Ï³Ý ï»Õ»Ï³·Çñ N 4(1)  26.01.09Ã.  Ð³í»Éí³Í 5 ¿ç 2101 </t>
        </r>
      </text>
    </comment>
  </commentList>
</comments>
</file>

<file path=xl/comments2.xml><?xml version="1.0" encoding="utf-8"?>
<comments xmlns="http://schemas.openxmlformats.org/spreadsheetml/2006/main">
  <authors>
    <author>barmine</author>
  </authors>
  <commentList>
    <comment ref="H32" authorId="0">
      <text>
        <r>
          <t/>
        </r>
      </text>
    </comment>
    <comment ref="H55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2 480 855.9 հազ դրամի մեջ ներառված է նաև վարկային գումարը</t>
        </r>
      </text>
    </comment>
  </commentList>
</comments>
</file>

<file path=xl/sharedStrings.xml><?xml version="1.0" encoding="utf-8"?>
<sst xmlns="http://schemas.openxmlformats.org/spreadsheetml/2006/main" count="1154" uniqueCount="447">
  <si>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</si>
  <si>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</si>
  <si>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</si>
  <si>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</si>
  <si>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</si>
  <si>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</si>
  <si>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</si>
  <si>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</si>
  <si>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</si>
  <si>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</si>
  <si>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</si>
  <si>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</si>
  <si>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</si>
  <si>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</si>
  <si>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</si>
  <si>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(հազ. դրամ)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</si>
  <si>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</si>
  <si>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</si>
  <si>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</si>
  <si>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</si>
  <si>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</si>
  <si>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</si>
  <si>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</si>
  <si>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</si>
  <si>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</si>
  <si>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</si>
  <si>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</si>
  <si>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</si>
  <si>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</si>
  <si>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</si>
  <si>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</si>
  <si>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 xml:space="preserve">Գերմանիայի զարգացման վարկերի բանկի աջակցությամբ իրականացվող ՀՀ Շիրակի, ՀՀ Լոռու և ՀՀ Արմավիրի մարզերի ջրամատակարարման և ջրահեռացման համակարգի մասնավոր կառավարման հայեցակարգերի ներդրման դրամաշնորհային ծրագիր </t>
  </si>
  <si>
    <t xml:space="preserve">Վերակառուցման և զարգացման եվրոպական բանկի աջակցությամբ իրականացվող Հայաստանի փոքր համայնքների ջրային ծրագրի դրամաշնորհային ծրագիր 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</si>
  <si>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</si>
  <si>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</si>
  <si>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</si>
  <si>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</si>
  <si>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</si>
  <si>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</si>
  <si>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</si>
  <si>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</si>
  <si>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</si>
  <si>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</si>
  <si>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</si>
  <si>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</si>
  <si>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</si>
  <si>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 xml:space="preserve"> ԱՄՆ հիվանդությունների կանխարգելման և վերահսկման կենտրոնի կողմից իրանակացվող Սեզոնային գրիպի համաճարակաբանական ցանցի հիմնման և արձագանքման դրամաշնորհային ծրագիր  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</si>
  <si>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</si>
  <si>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</si>
  <si>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</si>
  <si>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</si>
  <si>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</si>
  <si>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</si>
  <si>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</si>
  <si>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</si>
  <si>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</si>
  <si>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</si>
  <si>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</si>
  <si>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</si>
  <si>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</si>
  <si>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</si>
  <si>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</si>
  <si>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</si>
  <si>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</si>
  <si>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</si>
  <si>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</si>
  <si>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</si>
  <si>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Չափի միավորը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</si>
  <si>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</si>
  <si>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</si>
  <si>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</si>
  <si>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</si>
  <si>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</si>
  <si>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</si>
  <si>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</si>
  <si>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</si>
  <si>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</si>
  <si>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ՀՀ պետական բյուջե</t>
  </si>
  <si>
    <t>գանձապետական հաշիվներով</t>
  </si>
  <si>
    <t>Ըստ պայամանագրի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</si>
  <si>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</si>
  <si>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</si>
  <si>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</si>
  <si>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</si>
  <si>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</si>
  <si>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>ԱՄՆ դոլար և/կամ եվրո, հազ.դրամ</t>
  </si>
  <si>
    <t>Համաշխարհային բանկ</t>
  </si>
  <si>
    <t>Ըստ պայմանագրի</t>
  </si>
  <si>
    <t xml:space="preserve">գանձապետական հաշիվներով </t>
  </si>
  <si>
    <t>ապրանքներ, խորհրդատվական ծառայություններ, ներառյալ աուդիտ, վերապատրաստում և սեմինարներ</t>
  </si>
  <si>
    <t>900000903410</t>
  </si>
  <si>
    <t>Հոկտեմբեր 2011թ.</t>
  </si>
  <si>
    <t>ԱՄՆ կառավարություն</t>
  </si>
  <si>
    <t>Հազարամյակի մարտահրավեր դրամաշնորհային ծրագիր</t>
  </si>
  <si>
    <t>խորհրդատվություն, ուսուցում և խորհրդատվական ծախսեր</t>
  </si>
  <si>
    <t>հազ.դրամ</t>
  </si>
  <si>
    <t>ԳԶՄՀ</t>
  </si>
  <si>
    <t>«Գյուղական տարածքների տնտեսական զարգացման» ԾՎԿԳ ՊՀ</t>
  </si>
  <si>
    <t>Երևան, Տիգրան Մեծ 4</t>
  </si>
  <si>
    <t>ՀՀ կառավարության աշխատակազմ</t>
  </si>
  <si>
    <t>գանձապետական հաշիվներից դուրս</t>
  </si>
  <si>
    <t>1219-AM</t>
  </si>
  <si>
    <t>30.11.201թ.</t>
  </si>
  <si>
    <t>330000 ՀՓԻ</t>
  </si>
  <si>
    <t>Համաձայն համաձայնագրի</t>
  </si>
  <si>
    <t>Այլ</t>
  </si>
  <si>
    <t>Այլ ծախսեր</t>
  </si>
  <si>
    <t>Վարկային համաձայնագիրը ստորագրման փւլում է</t>
  </si>
  <si>
    <t>ՀՀ ՏԿՆ ջրային տնտեսության պետական կոմիտե</t>
  </si>
  <si>
    <t xml:space="preserve">Ք. Երևան,Վարդանանց 13ա </t>
  </si>
  <si>
    <t>ՀՀ տարածքային կառավարման նախարարություն</t>
  </si>
  <si>
    <t>ՖՆ աշխատակազմի գործառնական վարչություն</t>
  </si>
  <si>
    <t>ԵՄ Հարևանության Ներդրումային Ծրագիրը (ՀՆԾ)</t>
  </si>
  <si>
    <t xml:space="preserve">Եվրոպական Միության հարևանության ներդրումային ծրագրի աջակցությամբ իրականացվող Երևանի մետրոպոլիտենի վերակառուցման դրամաշնորհային երկրորդ ծրագիր(Երևան համայնքի ղեկակավարին պետության կողմից պատվիրակված լիազորություն) </t>
  </si>
  <si>
    <t>Գանձապետական հաշիվներով</t>
  </si>
  <si>
    <t>ապրանքներ, աշխատանքներ և խորհրդատվական ծառայություններ</t>
  </si>
  <si>
    <t>ըստ պայմանագրի</t>
  </si>
  <si>
    <t>Երևանի քաղաքապետարան</t>
  </si>
  <si>
    <t>Արգիշտի 1</t>
  </si>
  <si>
    <t>&lt;&lt;Կարեն Դեմիրճյանի անվան Երևանի Մետրոպոլիտեն&gt;&gt; ՓԲԸ</t>
  </si>
  <si>
    <t>եվրո/հազ. դրամ</t>
  </si>
  <si>
    <t>2002 65 266</t>
  </si>
  <si>
    <t>16.11.04թ.. 13.09.05թ..</t>
  </si>
  <si>
    <t>KFW, ԳԴՀ</t>
  </si>
  <si>
    <t>Շիրակի մարզի ջրամատակարարման և ջրահեռացման համակարգերի վերականգնման դրամաշնորհայինծրագիր</t>
  </si>
  <si>
    <t>այլ</t>
  </si>
  <si>
    <t>շենքերի և  շինությունների շինարարություն</t>
  </si>
  <si>
    <t>«Շիրակ-ջրմուղկոյուղի» ՓԲԸ</t>
  </si>
  <si>
    <t>ք.Գյումրի, Դուդկո1</t>
  </si>
  <si>
    <t>105011</t>
  </si>
  <si>
    <t>ՀՀ տարածքային կառավարման նախարարության Ջրային տնտեսության պետական կոմիտե</t>
  </si>
  <si>
    <t>06.03.01</t>
  </si>
  <si>
    <t xml:space="preserve">այլ </t>
  </si>
  <si>
    <t>BMZ-Nr. 2007 70 214</t>
  </si>
  <si>
    <t>14.07.2009թ.</t>
  </si>
  <si>
    <t>KFW</t>
  </si>
  <si>
    <t>ՀՀ Շիրակի, ՀՀ Լոռու, ՀՀ Արմավիրի մարզերի ջրամատակարարման և ջրահեռացման համակարգերի մասնավոր կառավարման հայեցակարգերի ներդրման դրամաշնորհային ծրագիր</t>
  </si>
  <si>
    <t>մասնավոր հատվածի կառավարում</t>
  </si>
  <si>
    <t>ք.Երևան, Վարդանանց 13ա</t>
  </si>
  <si>
    <t>06 03 01 05</t>
  </si>
  <si>
    <t>AT-AU-054</t>
  </si>
  <si>
    <t>17.07.2010թ.</t>
  </si>
  <si>
    <t>ֆինանսական աուդիտ</t>
  </si>
  <si>
    <t>02.08.2010թ.</t>
  </si>
  <si>
    <t>տեխնիկական աուդիտ</t>
  </si>
  <si>
    <t>Եվրամիություն</t>
  </si>
  <si>
    <t>Շենքերի և շինությունների շինարարություն</t>
  </si>
  <si>
    <t>Խորհրդատվություն</t>
  </si>
  <si>
    <t>Վարկային ծրագրի շրջանակներում ՀՋԿ ՓԲԸ-ի և ֆիխներ ընկերության միջև 21.03.2012թ. Կնքվել է N C23727/ECAW-2001-04-52 պայմանագիր 1130.0 հազար եվրո գումարի չափով</t>
  </si>
  <si>
    <t>06 03 01 10</t>
  </si>
  <si>
    <t>«Հայջրմուղկոյուղի» ՓԲԸ</t>
  </si>
  <si>
    <t>Վերակառուցման և Զարգացման Եվրոպական բանկ</t>
  </si>
  <si>
    <t>Հայաստանի փոքր համայնքների ջրամատակարաման ծրագիր</t>
  </si>
  <si>
    <t>6 04 01 15</t>
  </si>
  <si>
    <t xml:space="preserve">Եվրոպական միության  Հարևանության ներդրումային ծրագիր </t>
  </si>
  <si>
    <t>Եվրոպական միության Հարևանության ներդրումային ծրագրի աջակցությամբ իրականացվող ՀՀ պետական սահմանի «Բագրատածեն»,«Բավրա» և «Գգոավան» անցման կետերի արդիականացման դրամաշնորհային ծրագիր</t>
  </si>
  <si>
    <t>շենքերի և շինությունների շինարարություն</t>
  </si>
  <si>
    <t>ՀՀ ԿԱ պետական եկամուտների կոմիտե</t>
  </si>
  <si>
    <t>ք» Երևան, Մ Խորենացու 3,7</t>
  </si>
  <si>
    <t>ՀՀ կառավարություն</t>
  </si>
  <si>
    <t>ՀՀ ֆն գործառնական վարչություն</t>
  </si>
  <si>
    <t>Միավորված ազգերի զարգացման ծրագիր</t>
  </si>
  <si>
    <t>այլ մեքենանաեր ևսարքավորումներ</t>
  </si>
  <si>
    <t>TF012163</t>
  </si>
  <si>
    <t xml:space="preserve">Համաշխարհային բանկի աջակցությամբ իրականացվող էներգախնոյության դրամաշնորհային ծրագիր </t>
  </si>
  <si>
    <t>խորհրդատվությւն</t>
  </si>
  <si>
    <t>Հայաստանի վերականգնվող էներգետիկայի և էներգախնայողության հիմնադրամ</t>
  </si>
  <si>
    <t>Երևան ,Պռոշյան1-ին նրբանցք, տուն 32</t>
  </si>
  <si>
    <t>ՀՀ Էներգետիկայի և բնական պաշարների նախարարություն</t>
  </si>
  <si>
    <t>TF00111901</t>
  </si>
  <si>
    <t>Հուլիս 2012թ·</t>
  </si>
  <si>
    <t>Հանրային հատվածի վերահսկղության( Վերահսկիչ պալատի)կարողությունների զարգացման ծրագիր</t>
  </si>
  <si>
    <t>TF00111907</t>
  </si>
  <si>
    <t>Հունիս 2012թ·</t>
  </si>
  <si>
    <t>ՀՀ ֆինանսների նախարարւթյուն կարողությունների զարգացման ծրագիր</t>
  </si>
  <si>
    <t>TF0011972</t>
  </si>
  <si>
    <t>ՀՀ կառավարության կարգավորող բարեփոխումների գրասենյակի կարողությունների զարգացման ծրագիր</t>
  </si>
  <si>
    <t>TF012529</t>
  </si>
  <si>
    <t>Հայաստանի հանրային ֆինանսական կառավարման հզորացման ծրագիր</t>
  </si>
  <si>
    <t>Հազ. դրամ</t>
  </si>
  <si>
    <t>Սեզնային գրիպի համաճարակաբանական ցանցի հիմնւմ և արձագանքում վերահսկման կենտրոն</t>
  </si>
  <si>
    <t>Ապրանք, խորհրդատվական ծառայություններ և աշխատավարձ և այլ գործառնական ծախսեր</t>
  </si>
  <si>
    <t>Հաշվետու ժամանակահատվածի համար գումարի հաշվարկները կատարվում են վճարման  օրվա ՀՀ ԿԲ-ի փոխարժեքով</t>
  </si>
  <si>
    <t>ՀՀԱռողջապահական ԾԻԳ</t>
  </si>
  <si>
    <t>Ք. Երևան Շիրվանզադե 17</t>
  </si>
  <si>
    <t>ՀՀ Առողջապահության նախարարություն</t>
  </si>
  <si>
    <t>Առողջապահական ԾԻԳ</t>
  </si>
  <si>
    <t>TF0122224</t>
  </si>
  <si>
    <t xml:space="preserve">Համաշխարհային բանկ </t>
  </si>
  <si>
    <t xml:space="preserve">Համաշխարհային բանկի աջակցությամբ իրականացվող Սննդի անվտանգության կարողությունների զարգացման դրամաշնորհային ծրագիր </t>
  </si>
  <si>
    <t>ՀՀ պետական  բյուջե</t>
  </si>
  <si>
    <t>ՀՀ Գյուղատնտեսության նախարարություն</t>
  </si>
  <si>
    <t>ք.Երևան, Կառավարական 3 շենք</t>
  </si>
  <si>
    <t>Եվրոպական հարևանության և գործընկերության  գործիքի ներքո իրականացվող Սևծովյան ավազանի երկրների համատեղ գործողությունների 2007-2013թթ դրամաշնորհային ծրագիր</t>
  </si>
  <si>
    <t>Գիտաստեղծագործական խորհրդատվական ծառայություն</t>
  </si>
  <si>
    <t>ՀՀ Քաղաքացիական ծառայության խորհուրդ</t>
  </si>
  <si>
    <t>ք. Երևան Տերյան -89</t>
  </si>
  <si>
    <t>ՀՀ Քաղաքացիական ծառայություն խորհուրդ</t>
  </si>
  <si>
    <t>արտաբյուջե</t>
  </si>
  <si>
    <t>Ավստրիայի զարգացման գործակալություն</t>
  </si>
  <si>
    <t>ՀՀ կարգավորիչ գիլյոտին</t>
  </si>
  <si>
    <t>ՀՀ արտաբյուջե</t>
  </si>
  <si>
    <t xml:space="preserve">օրենսդրական ակտերի գույքագրում,պարզեցում,կրճատում </t>
  </si>
  <si>
    <t>Համաձայնագրով նախատեսված</t>
  </si>
  <si>
    <t>Օրենսդրության կարգավորման ազգային կենտրոն ԾԻԳ ՊՀ</t>
  </si>
  <si>
    <t>Երևան  Հանրապետության Հրապարակ Կառավարական տուն 1</t>
  </si>
  <si>
    <t>ՀՀ ՖՆ գանձապետական բ</t>
  </si>
  <si>
    <t>ՀՀ կառավարության աշխատակազմի «օրենսդրության կարգավորման ազգային կենտրոն»</t>
  </si>
  <si>
    <t>Լոռու մարզի ջրամատակարարման և ջրահեռացման համակարգերի վերականգնման դրամաշնորհայինծրագիր</t>
  </si>
  <si>
    <t>«Լոռի-ջրմուղկոյուղի» ՓԲԸ</t>
  </si>
  <si>
    <t>ք.Վանաձոր, ՆՍտեփանյանի 2ա</t>
  </si>
  <si>
    <t>06 03 01 11</t>
  </si>
  <si>
    <t xml:space="preserve">    ARM-202-G05-H-00</t>
  </si>
  <si>
    <t>ՄԻՁԱՎ/ՁԻԱՎ, Տուբերկուլյոզի և Մալարիայի դեմ պայքարի Գլոբալ Հիմնադրամ</t>
  </si>
  <si>
    <t xml:space="preserve"> ՀՀ-ում ՄԻԱՎ/ՁԻԱՀ-ի դեմ պայքարի ազգային ծրագրին աջակցություն</t>
  </si>
  <si>
    <t>ՀՀ առողջապահության նախարարություն</t>
  </si>
  <si>
    <t>ք. Երևան, Կառավարական 3շենք</t>
  </si>
  <si>
    <t>900013105029</t>
  </si>
  <si>
    <t>ՀՀ առողջապահության նախարարության Գլոբալ Հիմնադրամի ծրագրերը համակարգող խումբ</t>
  </si>
  <si>
    <t xml:space="preserve"> եվրո /  հազ. դրամ դրամ</t>
  </si>
  <si>
    <t>Աշխատանքի վարձատրություն</t>
  </si>
  <si>
    <t>Տեխնիկական աջակցություն</t>
  </si>
  <si>
    <t>Վերապատրաստման դասըթացներ</t>
  </si>
  <si>
    <t>Բուժսարքավորումներ և պարագաներ</t>
  </si>
  <si>
    <t>Դեղորայք և լաբորատոր ծախսանյութեր</t>
  </si>
  <si>
    <t>Ապրանքների պահպանման, փաթեթավորման և առաքման այլ ծախսեր</t>
  </si>
  <si>
    <t>Օժանդակ ոչ բժշկական նշանակության սարքավորումներ և հանգույցներ</t>
  </si>
  <si>
    <t>Հրապարակման ենթակա նյութեր</t>
  </si>
  <si>
    <t>Մոնիթորինգ և գնահատում</t>
  </si>
  <si>
    <t>Սոցիալական աջակցություն</t>
  </si>
  <si>
    <t>Պլանավորման և ադմինիստրատիվ/կազմակերպչական ծախսեր</t>
  </si>
  <si>
    <t>Վերադիր</t>
  </si>
  <si>
    <t xml:space="preserve">    ARM-T-MOH</t>
  </si>
  <si>
    <t>09.12.2011.թ.</t>
  </si>
  <si>
    <t>Հայաստանի Հանրապետությունում տուբերկուլյոզի դեմ պայքարի ազգային ծրագրի ուժեղացում և դեղակայուն տուբերկուլյոզի կառավարման ընդլայնում</t>
  </si>
  <si>
    <t>900013104063</t>
  </si>
  <si>
    <t xml:space="preserve"> եվրո/ հազ. դրամ </t>
  </si>
  <si>
    <t xml:space="preserve">    ARM-809-G04-S</t>
  </si>
  <si>
    <t>12.12.2012թ.</t>
  </si>
  <si>
    <t>Առողջապահական համակարգի հզորացում</t>
  </si>
  <si>
    <t>900013104055</t>
  </si>
  <si>
    <t>BMZ-2004.70153</t>
  </si>
  <si>
    <t>24.11.2004</t>
  </si>
  <si>
    <t>KFW, ԳԴՀ բանկ</t>
  </si>
  <si>
    <t>Վերականգնվող էներգիայի աջակցում</t>
  </si>
  <si>
    <t>ՀՀ կենտրոնական բանկ</t>
  </si>
  <si>
    <t>Օժանդակ միջոցներ տեխնիկական աջակցություն</t>
  </si>
  <si>
    <t>&lt;&lt;Գերմանական հիմնադրամ &gt;&gt; ԾԿԳ</t>
  </si>
  <si>
    <t>Վ.Սարգսյան 6, 0010 ք. Երևան</t>
  </si>
  <si>
    <t>«Գերմանահայկական հիմնադրամ» ԾԿԳ</t>
  </si>
  <si>
    <t>BMZ-2005.70.135</t>
  </si>
  <si>
    <t>23.03.2006</t>
  </si>
  <si>
    <t>Կայուն բնակարանային ֆինանսվորում շուկայինզարգացում</t>
  </si>
  <si>
    <t>BMZ-2011.70.216</t>
  </si>
  <si>
    <t>Գյողատնտեսության ֆինանսավորում</t>
  </si>
  <si>
    <t>111-LSGA-00   1200003-00</t>
  </si>
  <si>
    <t>19.01.2012թ.</t>
  </si>
  <si>
    <t>ԱՄՆ ՄԶԳ հայաստնյան գրասենյակ(USAID)</t>
  </si>
  <si>
    <t>«Աջակցություն շտապ բուժօգնության ծառայությւններին»</t>
  </si>
  <si>
    <t>Ուսումնասիրություն  և խորհրդատվություն</t>
  </si>
  <si>
    <t>Համաձայնագրով նախատեսված չէ</t>
  </si>
  <si>
    <t>ՀՀ ԱՆ «Աջակցւթյան շտապ բուժօգնության ծառայություններին»</t>
  </si>
  <si>
    <t>ՀՀ ԱՆ</t>
  </si>
  <si>
    <t>07 06 02</t>
  </si>
  <si>
    <t>Գյուղական կարողությունների ստեղծում</t>
  </si>
  <si>
    <t>TF0145539</t>
  </si>
  <si>
    <t>Վերակառուցման և Զարգացման Միջազգային  բանկ</t>
  </si>
  <si>
    <t xml:space="preserve"> Համաշխարհային բանկի աջակցությամբ իրականացվող «Հանրակրթության բարելավման ծրագրի նախապատրաստման համար» դրամաշնորհային ծրագիր</t>
  </si>
  <si>
    <t xml:space="preserve">Ապրանքներ,խորհրդատվական ծառայություններ, գործառնական ծախսեր </t>
  </si>
  <si>
    <t>Կրթական ծրագրերի կենտրոն ԾԻԳ</t>
  </si>
  <si>
    <t>ք. Երևան Վրացյան -73</t>
  </si>
  <si>
    <t>ՀՀ կրթության գիտության նախարարություն</t>
  </si>
  <si>
    <t>Վարկային ծրագրի շրջանակներում ՀՋԿ ՓԲԸ-ի և ֆիխներ ընկերության միջև 21.03.2012թ. Կնքվել է N C23727/ECAW-2001-04-52 պայմանագիր 1130.0 հազար եվրո գումարի չափով,ինչպես նաև  կնքվել է ժամկետի երկարաձգման պայմանագի, որի հիման վրա պայմանգրի գումարը ավելացել է 45.0 հազար եվրո գումարի չափով:</t>
  </si>
  <si>
    <t>Հայաստանի ջրային ոլորտի ուսումնասիրություն</t>
  </si>
  <si>
    <t>06 03 01 16</t>
  </si>
  <si>
    <t>ԱՄՆ Հիվանդությունների կանխարգելման ցանցի հիմնում և արձագանքում դրամաշնորհային ծրագիր</t>
  </si>
  <si>
    <t>Աջակցություն Հայաստանի Հանրապետության Կառավարությանը` ուղղված ԵՀՔ գործողությունների ծրագրի իրականացմանը և ապագա Ասոցիացման համաձայնագրի գծով նախապատրաստական աշխատանքներին(2010թ.)</t>
  </si>
  <si>
    <t>Աջակցություն Հայաստանի Հանրապետության Կառավարությանը` ուղղված ԵՀՔ գործողությունների ծրագրի իրականացմանը և ապագա Ասոցիացման համաձայնագրի գծով նախապատրաստական աշխատանքներին` փուլ 2-րդ   (2011թ.)</t>
  </si>
  <si>
    <t>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</si>
  <si>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</si>
  <si>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</si>
  <si>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</si>
  <si>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</si>
  <si>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</si>
  <si>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</si>
  <si>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Դանիայի թագավորության աջակցությամբ իրականացվող էներգախնայողության դրամաշնորհային ծրագիր</t>
  </si>
  <si>
    <t>Գերմանիայի զարգացման վարկերի բանկի աջակցությամբ  իրականացվող Հայաստանի Հանրապետության ջրային ոլորտի ուսումնասիրության դրամաշնորհային ծրագիր</t>
  </si>
  <si>
    <t>Գերմանիայի զարգացման վարկերի բանկի աջակցությամբ իրականացվող ՀՀ Շիրակի (Գյումրի) մարզի ջրամատակարարման և ջրահեռացման համակարգերի վերականգնման դրամաշնորհային ծրագիր</t>
  </si>
  <si>
    <t>Գերմանիայի զարգացման վարկերի բանկի աջակցությամբ իրականացվող ջրամատակարար ընկերությունների կողմից չսպասարկվող համայնքների ջրամատակարարման և ջրահեռացման համակարգերի բարելվմանն ու զարգացմանն ուղղված կիրառելիության ուսումնասիրության դրամաշնորհային ծրագիր</t>
  </si>
  <si>
    <t>Եվրոմիության  աջակցությամբ իրականացվող Հայաստանի փոքր համայնքների  ջրային ծրագրի դրամաշնորհային ծրագիր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</si>
  <si>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</si>
  <si>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Համաշխարհային բանկի աջակցությամբ իրականացվող առողջապահության կատարողականի վրա հիմնված ֆինանսավորման ծրագրի նախապատրաստման դրամաշնորհային ծրագիր</t>
  </si>
  <si>
    <t>Դանիական թագավորության աջակցությամբ իրականացվող գյուղական կարողությունների ստեղծում դրամաշնորհային ծրագիր</t>
  </si>
  <si>
    <t>Եվրոպական ներդրումային բանկի աջակցությամբ իրականացվող Հյուսիս-Հարավ տրանսպորտային միջանցքի ծրագիր (3-րդ տրանշ)</t>
  </si>
  <si>
    <t>Համաշխարհային բանկի աջակցությամբ իրականցվող Փաստաբանների դպրոցի վերապատրաստման կարողությունների զարգացման դրամաշնորհային ծրագիր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</si>
  <si>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</si>
  <si>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1 ԱՄՆ դոլար / 405.26 ՀՀ դրամ</t>
  </si>
  <si>
    <t>1 եվրո / 548.11ՀՀ դրամ</t>
  </si>
  <si>
    <t>TF013654</t>
  </si>
  <si>
    <t xml:space="preserve"> խորհրդատվական ծառայություններ, վերապատրաստում</t>
  </si>
  <si>
    <t>TF012782</t>
  </si>
  <si>
    <t>13.12.2012թ.</t>
  </si>
  <si>
    <t>15.04.2013թ.</t>
  </si>
  <si>
    <t xml:space="preserve">21.03.2012թ. և լրացում 29.07.2013թ. </t>
  </si>
  <si>
    <t>01.02.2014թ.</t>
  </si>
  <si>
    <t>Համաշխարհային բանկի աջակցությամբ իրականացվող Գլոբալ էկոլոգիական հիմնադրամի  կողմից տրամադրաված Համայնքների գյուղատնտեսական ռեսուրսների կառավարման և մրցունակության խրագիր</t>
  </si>
  <si>
    <t>BMZ-N 2013.7017.0</t>
  </si>
  <si>
    <t>27.12.2013թ.</t>
  </si>
  <si>
    <t>06 03 01 18</t>
  </si>
  <si>
    <t>28</t>
  </si>
  <si>
    <t>Դրամաշնորհ 5U51IP00 0520-03</t>
  </si>
  <si>
    <t>21.05.2013թ</t>
  </si>
  <si>
    <t>HRITF  Դրամաշնորհ TF 013103</t>
  </si>
  <si>
    <t>Հաշվետու ժամանակահատվածի համար գումարի հաշվարկները կատարվում են փաստացի ստացման նախորդ օրվա ՀՀ ԿԲ-ի դրությամբ</t>
  </si>
  <si>
    <t>Դրամաշնորհ TF 014138</t>
  </si>
  <si>
    <t>11.07.2013թ</t>
  </si>
  <si>
    <t>Միջազգային Զարգացման Ընկերակցություն</t>
  </si>
  <si>
    <t>TF013724</t>
  </si>
  <si>
    <t>11.06.2013թ.</t>
  </si>
  <si>
    <t xml:space="preserve"> Գլոբալ էկոլոգիական հիմնադրամի</t>
  </si>
  <si>
    <t>Դանիայի թագավորության աջակցությամբ իրականացվող  գյուղական կարողությունների ստեղծում դրամաշնորհային ծրագիր</t>
  </si>
  <si>
    <t>31</t>
  </si>
  <si>
    <t>32</t>
  </si>
  <si>
    <t>33</t>
  </si>
  <si>
    <t xml:space="preserve">*** Ավելացել է  համաձայն ՀՀ կառավարության  23.04.14թ. N 434-Ն որոշման </t>
  </si>
  <si>
    <t xml:space="preserve">**** Ավելացել է համաձայն  ՀՀ կառավարության  19.03.14թ. N 299-Ն որոշման </t>
  </si>
  <si>
    <t xml:space="preserve">** Ավելացել է համաձայն ՀՀ կառավարության 19.03.14թ. N 284-Ն  որոշման </t>
  </si>
  <si>
    <t>***** Ավելացել է համաձայն ՀՀ կառավարության 27.03.14թ. N 313-Ն   որոշման</t>
  </si>
  <si>
    <r>
      <rPr>
        <b/>
        <sz val="12"/>
        <rFont val="GHEA Grapalat"/>
        <family val="0"/>
      </rPr>
      <t>****</t>
    </r>
    <r>
      <rPr>
        <sz val="12"/>
        <rFont val="GHEA Grapalat"/>
        <family val="3"/>
      </rPr>
      <t>Իրանի Իսլամական Հանրապետության աջակցությամբ իրականացվող Հայաստանի Հանրապետությունում` Իրանի հետ սահմանամերձ բնակավայրերի գազի բաշխման ցանցի կառուցման դրամաշնորհային ծրագիր</t>
    </r>
  </si>
  <si>
    <r>
      <rPr>
        <b/>
        <sz val="12"/>
        <rFont val="GHEA Grapalat"/>
        <family val="0"/>
      </rPr>
      <t>***</t>
    </r>
    <r>
      <rPr>
        <sz val="12"/>
        <rFont val="GHEA Grapalat"/>
        <family val="3"/>
      </rPr>
      <t>Համաշխարհային բանկի աջակցությամբ իրականացվող Հայաստանի գյուղատնտեսական հաշվառման պիլոտային ծրագիր</t>
    </r>
  </si>
  <si>
    <r>
      <rPr>
        <b/>
        <sz val="12"/>
        <rFont val="GHEA Grapalat"/>
        <family val="0"/>
      </rPr>
      <t>**</t>
    </r>
    <r>
      <rPr>
        <sz val="12"/>
        <rFont val="GHEA Grapalat"/>
        <family val="3"/>
      </rPr>
      <t>Համաշխարհային բանկի աջակցությամբ իրականացվող համայնքների գյուղատնտեսական ռեսուրսների կառավարման մրցունակության երկրորդ ծրագիր</t>
    </r>
  </si>
  <si>
    <t>34</t>
  </si>
  <si>
    <t>****** Ավելացել է համաձայն   ՀՀ կառավարության 27.03.14թ. N 315-Նորոշման</t>
  </si>
  <si>
    <t>Համաշխարհային բանկի աջակցությամբ իրականացվող համայնքների գյուղատնտեսական ռեսուրսների կառավարման մրցունակության երկրորդ ծրագիր</t>
  </si>
  <si>
    <t>Ռուսաստանի Դաշնության հիմնադրամ</t>
  </si>
  <si>
    <t>TF015171</t>
  </si>
  <si>
    <t>Համաշխարհային բանկի աջակցությամբ իրականացվող Հայաստանի գյուղատնտեսական հաշվառման պիլոտային ծրագիր</t>
  </si>
  <si>
    <t>Իրանի Իսլամական Հանրապետության աջակցությամբ իրականացվող Հայաստանի Հանրապետությունում` Իրանի հետ սահմանամերձ բնակավայրերի գազի բաշխման ցանցի կառուցման դրամաշնորհային ծրագիր</t>
  </si>
  <si>
    <t xml:space="preserve">2014թ  </t>
  </si>
  <si>
    <t>Դանիական Թագավորություն</t>
  </si>
  <si>
    <t>SUPPL-COFIN DK-817AM</t>
  </si>
  <si>
    <t>23.12.2013թ.</t>
  </si>
  <si>
    <t>20.04.2012թ.</t>
  </si>
  <si>
    <t>Եվրամիության աջակցությամբ իրականացվող Հայաստանի փոքր համայնքների ջրային ծրագիր</t>
  </si>
  <si>
    <t>տեխնիկական աջակցություն</t>
  </si>
  <si>
    <t>SUPPL-COFIN DE-730AM</t>
  </si>
  <si>
    <t>Դանիական Թագավորության աջակցությամբ իրականացվող  «Շուկայավարման հնարավորություն ֆերմերներին»</t>
  </si>
  <si>
    <t>Ընդամենը</t>
  </si>
  <si>
    <t>TF013918</t>
  </si>
  <si>
    <t>ԻԻՀ</t>
  </si>
  <si>
    <t>Ոչ ֆինանսական ակտիվների գծով ծախսեր</t>
  </si>
  <si>
    <t>Կառավական տուն, մասնաշենք 2</t>
  </si>
  <si>
    <t xml:space="preserve"> Համաշխարհային բանկ</t>
  </si>
  <si>
    <t>Ընթացիկ այլ ծախսեր</t>
  </si>
  <si>
    <t xml:space="preserve">ՀՀ արդարադատության նախարարության </t>
  </si>
  <si>
    <t>03 03 01</t>
  </si>
  <si>
    <t>10 40 03</t>
  </si>
  <si>
    <t>Դատաիրավական ծրագրերի իրականացման գրասենյակ ՊՀ</t>
  </si>
  <si>
    <t>35</t>
  </si>
  <si>
    <r>
      <t>*******</t>
    </r>
    <r>
      <rPr>
        <sz val="12"/>
        <rFont val="GHEA Grapalat"/>
        <family val="0"/>
      </rPr>
      <t>Վեդու ջրամբարի կառուցման ուսումնասիրություն</t>
    </r>
  </si>
  <si>
    <t>******* Ավելացել է համաձայն   ՀՀ կառավարության 19.06.14թ. N 625-Նորոշման</t>
  </si>
  <si>
    <t>CAM 1004 01 A</t>
  </si>
  <si>
    <t>15.05.2013թ.</t>
  </si>
  <si>
    <t>Ֆրանսիայի կառավարություն</t>
  </si>
  <si>
    <t>Վեդու ջրամբարի կառուցման ուսումնասիրություն</t>
  </si>
  <si>
    <t xml:space="preserve"> ԱՄՆ կառավարության աջակցությամբ իրականացվող ՙՀազարամյակի մարտահրավեր՚ դրամաշնորհային ծրագիր </t>
  </si>
  <si>
    <t>Եվրոպական ներդրումային բանկ Լյուքսեմբուրգ</t>
  </si>
  <si>
    <t>դեռևս հստակեցված չէ` համաձայնագրի  բացակայության պատճառով</t>
  </si>
  <si>
    <t>Պայմանագիրը դեռևս հաստատված չէ</t>
  </si>
  <si>
    <t>«Հյուսիս-Հարավ ճանապարհային միջանցքի ներդրումային ծրագրի իրականացման կազմակերպություն» ՊՈԱԿ</t>
  </si>
  <si>
    <t>ՀՀ ք. Երևան, Թումանյան 38</t>
  </si>
  <si>
    <t>ՀՀ տրանսպորտի և կապի նախարարություն</t>
  </si>
  <si>
    <t>10 40 18</t>
  </si>
  <si>
    <t>04 05 01</t>
  </si>
  <si>
    <t>******** Ավելացել է համաձայն   ՀՀ կառավարության 10.07.14թ. N 709-Նորոշման</t>
  </si>
  <si>
    <t>36</t>
  </si>
  <si>
    <r>
      <rPr>
        <b/>
        <sz val="12"/>
        <rFont val="GHEA Grapalat"/>
        <family val="0"/>
      </rPr>
      <t>********</t>
    </r>
    <r>
      <rPr>
        <sz val="12"/>
        <rFont val="GHEA Grapalat"/>
        <family val="0"/>
      </rPr>
      <t>Նիդերլանդներից վերադարձող քաղաքացիներին վերաինտեգրման օգնության շրջանակներում խորհրդատվության և ուղղորդման ծառայության մատուցման մասին</t>
    </r>
  </si>
  <si>
    <t>Կովկասի Բնության Հիմնադրամ</t>
  </si>
  <si>
    <t>Խոսրովի Պետական Արգելոցի դրամաշնորհիպայմանագիր</t>
  </si>
  <si>
    <t>որոշակի ԱՊՏ-ների ընթացիկ ծախսերի ֆինանսավորում</t>
  </si>
  <si>
    <t>Ըստ համաձայնագրի</t>
  </si>
  <si>
    <t>համաձայն հաստատաված նախահաշվի հիմնական միջցների, գույքի և սարքավորումների ձեռք բերւմ,տուրիզմի սպասարկում,հավելավճարների տրամադրում</t>
  </si>
  <si>
    <t>2013թ. Համար 10000 եվրո կառանձնացվի աուդիտորական ծախսերի համար</t>
  </si>
  <si>
    <t>&lt;Խոսրովիանտառ&gt; արգելոց ՊՈԱԿ</t>
  </si>
  <si>
    <t>Ք. Վեդի կասյան79</t>
  </si>
  <si>
    <t>ՀՀ Բնապահպանության նախարարություն</t>
  </si>
  <si>
    <t>Արփի լիճ ազգային պարկի դրամաշնորհային պայմանագիր</t>
  </si>
  <si>
    <t>ընթացիկ ծախսերի ֆինանսավորում</t>
  </si>
  <si>
    <t>Շենք, շինությունների պահպանում</t>
  </si>
  <si>
    <t>210000 եվրո դրամաշնորհ/2013-2015թթ համար/,որից 30000 եվրոն ԿԲՀ կողմից կհատկացվի աուդիտ ծախսերի համար</t>
  </si>
  <si>
    <t>&lt;Արփի Լիճ&gt; ՊՈԱԿ</t>
  </si>
  <si>
    <t>ՀՀ Շիրակի մարզ, գ. Բերդաշեն</t>
  </si>
  <si>
    <t>22.04.2014թ.</t>
  </si>
  <si>
    <t>07.05.2014թ.</t>
  </si>
  <si>
    <t>«Զանգեզուր ԿՀ» պետական արգելոցի դրամաշնորհի պայմանագիր</t>
  </si>
  <si>
    <t>«Զանգեզուր ԿՀ» ՊՈԱԿ իրականացվելիք միջոցառումների ֆինանսավորման ծավալների համալրում</t>
  </si>
  <si>
    <t>ՀՀ Սյունիքի մարզ. Ք. Շիկահող</t>
  </si>
  <si>
    <t>26.07.2013թ.</t>
  </si>
  <si>
    <t>Հարավային Կովկասում անդրսահմանային միացյալ քարտուղարություն</t>
  </si>
  <si>
    <t>«Դիլիջան ազգային պարկ» ՊՈԱԿ-ում էկոտուրիստական երթուղիների և ժամանցի կազմակերպման կետի կահավորման ու բարեկարգման աշխատանքների ձեռք բերում</t>
  </si>
  <si>
    <t>«Դիլիջան ազգային պարկ» ՊՈԱԿ</t>
  </si>
  <si>
    <t>Ք. Դիլիջան Թբիլիսյան խճ-2</t>
  </si>
  <si>
    <r>
      <rPr>
        <b/>
        <sz val="12"/>
        <rFont val="GHEA Grapalat"/>
        <family val="3"/>
      </rPr>
      <t>*****</t>
    </r>
    <r>
      <rPr>
        <sz val="12"/>
        <rFont val="GHEA Grapalat"/>
        <family val="3"/>
      </rPr>
      <t>Եվրոպական հարևանության և գործընկերության գործիքի ներքո իրականացվող Սևծովյան ավազանի երկրների համատեղ գործողությունների 2007-2013 թթ. դրամաշնորհային ծրագիր</t>
    </r>
  </si>
  <si>
    <t>Համաձայն վերադասի 12.09.2014թ. Թիվ 82-6/658330-14 գրության կատարվել է  բյուջեի փոփոխություն</t>
  </si>
  <si>
    <r>
      <t>******</t>
    </r>
    <r>
      <rPr>
        <sz val="12"/>
        <rFont val="GHEA Grapalat"/>
        <family val="3"/>
      </rPr>
      <t>Դանիական Թագավորության աջակցությամբ իրականացվող  «Շուկայավարման հնարավորություն ֆերմերներին»</t>
    </r>
  </si>
  <si>
    <t>Նիդերլանդներից վերադարձող քաղաքացիներին վերաինտեգրման օգնության շրջանակներում խորհրդատվության և ուղղորդման ծառայության մատուցման մասին</t>
  </si>
  <si>
    <t>8283-02/2014</t>
  </si>
  <si>
    <t>500 եվրո</t>
  </si>
  <si>
    <t>Գործարքները կատարվել է ՀՀ ԿԲ-ի օրվա կուրսով</t>
  </si>
  <si>
    <t>2014 թվականի ընթացքում դրամական միջոցները փոխարկվում են 1 եվրոն= 548.11 ՀՀ դրամ</t>
  </si>
  <si>
    <t>2014թ. Ընթացքում ստացված դրամական միջոցները փոխարկում են 1 եվրո=548.11ՀՀԴ</t>
  </si>
  <si>
    <t>2014թվականին ստացված դրամական միջոցները փոխարկվում են 1 եվրոն/= 548.11 ՀՀ դրամ     2013թվականին ստացված դրամական միջոցները փոխարկվում են 1 եվրոն/= 524.38 ՀՀ դրամ    01.01.2013-30.06.2013 ժամանակահատվածում դրամաշնորհը տրամադրվել է դրամային և ոչ դրամային չափիչներով 768.038.4 հազ ՀՀ դրամ տրամադրվել է դրամային չափիչով, իսկ 196.845.4 հազ ՀՀ դրամը հակատուբերկուլյոզային դեղորայքի ժամանակակշիռը ախտորոշիչ սարքավորումների տեսքով     01.01.2012-31.12.2012 ժամանակահատվածում դրամաշնորհը տրամադրվել է դրամային և ոչ դրամային չափիչներով 785.495 հազ ՀՀ դրամ տրամադրվել է դրամային չափիչով, իսկ 222.029 հազ ՀՀ դրամը հակատուբերկուլյոզային դեղորայքի ժամանակակշիռը ախտորոշիչ սարքավորումների տեսքով</t>
  </si>
  <si>
    <t>Որպես դրամաշնորհի պայամանագրային գումար հաշվարկված է 250.000 Եվրո  գումարին համարժեք ՀՀ դրամ 30.09.2014 դրությամբ 519.49</t>
  </si>
  <si>
    <t>BMZ-2012.70.297</t>
  </si>
  <si>
    <t>Վերականգնվող էներգիայի աջակցում (փուլ III)</t>
  </si>
  <si>
    <t xml:space="preserve">Որպես դրամաշնորհի պայամանագրային գումար հաշվարկված է 2.000.000Եվրո  գումարին համարժեք ՀՀ դրամ 30.09.2014 դրությամբ 513.49 </t>
  </si>
  <si>
    <t>Աշխատանքի միջազգային կազմակերպություն</t>
  </si>
  <si>
    <t>«Դպրոցից դեպի աշխատանք» ընտրանքային հետազոտություն</t>
  </si>
  <si>
    <t>Աշխողների աշխատավարձ, ներքին գործուղումներ, տպագրական ծառայություններ</t>
  </si>
  <si>
    <t>ՀՀ Ազգային վիճակագրական ծառայություն</t>
  </si>
  <si>
    <t>ՀՀ ԱՎԾ</t>
  </si>
  <si>
    <t>հազ. դրամ</t>
  </si>
  <si>
    <t>27.08.2012թ.</t>
  </si>
  <si>
    <t>04.09.2013թ.</t>
  </si>
  <si>
    <t>10.01.2013թ.</t>
  </si>
  <si>
    <t>30.10.2012թ.</t>
  </si>
  <si>
    <t>01.10. 2013թ.</t>
  </si>
  <si>
    <t>04.07.2013թ.</t>
  </si>
  <si>
    <t>28.11.2013թ.</t>
  </si>
  <si>
    <t>26.09.2013թ.</t>
  </si>
  <si>
    <t>19.03.2014թ.</t>
  </si>
  <si>
    <t>22.06.2013թ.</t>
  </si>
  <si>
    <t>19.06.2009թ.</t>
  </si>
  <si>
    <t>01.04.2014-31.03.2016թթ.</t>
  </si>
  <si>
    <t>16.11.2004-13.09.2015թթ.</t>
  </si>
  <si>
    <t>26.04.2013թ.</t>
  </si>
  <si>
    <t>11.06.2012թ.</t>
  </si>
  <si>
    <t>18.06.2014թ.</t>
  </si>
  <si>
    <t>900001300003</t>
  </si>
  <si>
    <t xml:space="preserve">* Ավելացել է համաձայն ՀՀ կառավարության 19.03.14թ. N 283-Ն  որոշման </t>
  </si>
  <si>
    <t>*Համաշխարհային բանկի աջակցությամբ իրականացվող «Հանրակրթության բարելավման ծրագրի նախապատրաստման համար» դրամաշնորհային ծրագիր</t>
  </si>
  <si>
    <t>«Խոսրովիանտառ» արգելոց ՊՈԱԿ</t>
  </si>
  <si>
    <t>«Արփի Լիճ» ՊՈԱԿ</t>
  </si>
  <si>
    <t>Աջակցություն Հայաստանում դատական բարեփոխումների փուլ 2 Եվրոմիության բյուջետային աջակցության ծրագիր (2012) ֆինանսավորման համաձայնագիր</t>
  </si>
  <si>
    <t>-</t>
  </si>
  <si>
    <t>2014 թվականի պետական բյուջեով նախատեսված Հայաստանի Հանրապետությանը տրամադրված դրամաշնորհների վերաբերյալ 31.12.2014թ. դրությամբ</t>
  </si>
  <si>
    <t>01.10.2014-31.12.2014թթ. ժամանակահատվածի համար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</si>
</sst>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</numFmts>
  <fonts count="5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8"/>
      <name val="Sylfaen"/>
      <family val="1"/>
    </font>
    <font>
      <sz val="10"/>
      <name val="GHEA Grapalat"/>
      <family val="3"/>
    </font>
    <font>
      <b/>
      <sz val="10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GHEA Grapala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4" fontId="9" fillId="33" borderId="10" xfId="58" applyNumberFormat="1" applyFont="1" applyFill="1" applyBorder="1" applyAlignment="1">
      <alignment vertical="center"/>
      <protection/>
    </xf>
    <xf numFmtId="174" fontId="9" fillId="33" borderId="10" xfId="58" applyNumberFormat="1" applyFont="1" applyFill="1" applyBorder="1" applyAlignment="1">
      <alignment horizontal="right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179" fontId="4" fillId="33" borderId="0" xfId="42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42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174" fontId="5" fillId="33" borderId="10" xfId="58" applyNumberFormat="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/>
    </xf>
    <xf numFmtId="174" fontId="5" fillId="33" borderId="10" xfId="58" applyNumberFormat="1" applyFont="1" applyFill="1" applyBorder="1" applyAlignment="1">
      <alignment horizontal="center" vertical="center"/>
      <protection/>
    </xf>
    <xf numFmtId="49" fontId="9" fillId="33" borderId="13" xfId="1" applyNumberFormat="1" applyFont="1" applyFill="1" applyBorder="1" applyAlignment="1">
      <alignment horizontal="center" vertical="center" wrapText="1"/>
    </xf>
    <xf numFmtId="172" fontId="9" fillId="33" borderId="10" xfId="1" applyNumberFormat="1" applyFont="1" applyFill="1" applyBorder="1" applyAlignment="1">
      <alignment horizontal="left" vertical="center" wrapText="1"/>
    </xf>
    <xf numFmtId="174" fontId="9" fillId="33" borderId="14" xfId="58" applyNumberFormat="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/>
    </xf>
    <xf numFmtId="172" fontId="9" fillId="33" borderId="10" xfId="42" applyNumberFormat="1" applyFont="1" applyFill="1" applyBorder="1" applyAlignment="1">
      <alignment vertical="center"/>
    </xf>
    <xf numFmtId="174" fontId="9" fillId="33" borderId="10" xfId="42" applyNumberFormat="1" applyFont="1" applyFill="1" applyBorder="1" applyAlignment="1">
      <alignment horizontal="center" vertical="center"/>
    </xf>
    <xf numFmtId="174" fontId="9" fillId="33" borderId="14" xfId="0" applyNumberFormat="1" applyFont="1" applyFill="1" applyBorder="1" applyAlignment="1">
      <alignment/>
    </xf>
    <xf numFmtId="43" fontId="9" fillId="33" borderId="10" xfId="42" applyNumberFormat="1" applyFont="1" applyFill="1" applyBorder="1" applyAlignment="1">
      <alignment horizontal="center" vertical="center"/>
    </xf>
    <xf numFmtId="0" fontId="6" fillId="33" borderId="0" xfId="57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/>
    </xf>
    <xf numFmtId="0" fontId="4" fillId="33" borderId="10" xfId="57" applyFont="1" applyFill="1" applyBorder="1" applyAlignment="1">
      <alignment vertical="center"/>
      <protection/>
    </xf>
    <xf numFmtId="43" fontId="4" fillId="33" borderId="10" xfId="0" applyNumberFormat="1" applyFont="1" applyFill="1" applyBorder="1" applyAlignment="1">
      <alignment vertical="center"/>
    </xf>
    <xf numFmtId="172" fontId="4" fillId="33" borderId="10" xfId="58" applyNumberFormat="1" applyFont="1" applyFill="1" applyBorder="1" applyAlignment="1">
      <alignment vertical="center"/>
      <protection/>
    </xf>
    <xf numFmtId="172" fontId="4" fillId="33" borderId="10" xfId="42" applyNumberFormat="1" applyFont="1" applyFill="1" applyBorder="1" applyAlignment="1">
      <alignment vertical="center"/>
    </xf>
    <xf numFmtId="174" fontId="4" fillId="33" borderId="10" xfId="42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57" applyFont="1" applyFill="1" applyBorder="1" applyAlignment="1">
      <alignment vertical="center"/>
      <protection/>
    </xf>
    <xf numFmtId="43" fontId="4" fillId="33" borderId="16" xfId="0" applyNumberFormat="1" applyFont="1" applyFill="1" applyBorder="1" applyAlignment="1">
      <alignment vertical="center"/>
    </xf>
    <xf numFmtId="172" fontId="4" fillId="33" borderId="16" xfId="58" applyNumberFormat="1" applyFont="1" applyFill="1" applyBorder="1" applyAlignment="1">
      <alignment vertical="center"/>
      <protection/>
    </xf>
    <xf numFmtId="0" fontId="4" fillId="33" borderId="16" xfId="58" applyFont="1" applyFill="1" applyBorder="1" applyAlignment="1">
      <alignment vertical="center"/>
      <protection/>
    </xf>
    <xf numFmtId="174" fontId="4" fillId="33" borderId="16" xfId="42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8" fillId="33" borderId="0" xfId="57" applyFont="1" applyFill="1" applyBorder="1" applyAlignment="1">
      <alignment vertical="center"/>
      <protection/>
    </xf>
    <xf numFmtId="43" fontId="6" fillId="33" borderId="0" xfId="42" applyFont="1" applyFill="1" applyBorder="1" applyAlignment="1">
      <alignment vertical="center"/>
    </xf>
    <xf numFmtId="172" fontId="15" fillId="33" borderId="10" xfId="44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43" fontId="16" fillId="33" borderId="10" xfId="42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172" fontId="13" fillId="33" borderId="0" xfId="0" applyNumberFormat="1" applyFont="1" applyFill="1" applyBorder="1" applyAlignment="1">
      <alignment horizontal="center" vertical="center" wrapText="1"/>
    </xf>
    <xf numFmtId="43" fontId="14" fillId="33" borderId="10" xfId="42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172" fontId="13" fillId="33" borderId="10" xfId="44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3" fontId="15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72" fontId="13" fillId="33" borderId="10" xfId="44" applyNumberFormat="1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right" vertical="center" wrapText="1"/>
    </xf>
    <xf numFmtId="172" fontId="15" fillId="33" borderId="10" xfId="42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 quotePrefix="1">
      <alignment horizontal="center" vertic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3" fontId="13" fillId="33" borderId="11" xfId="42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1" fontId="17" fillId="33" borderId="19" xfId="0" applyNumberFormat="1" applyFont="1" applyFill="1" applyBorder="1" applyAlignment="1" quotePrefix="1">
      <alignment horizontal="center" vertical="center" wrapText="1"/>
    </xf>
    <xf numFmtId="44" fontId="13" fillId="33" borderId="11" xfId="44" applyFont="1" applyFill="1" applyBorder="1" applyAlignment="1">
      <alignment horizontal="center" vertical="center" wrapText="1"/>
    </xf>
    <xf numFmtId="172" fontId="13" fillId="33" borderId="11" xfId="42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182" fontId="15" fillId="33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right" vertical="center" wrapText="1"/>
    </xf>
    <xf numFmtId="43" fontId="15" fillId="33" borderId="18" xfId="42" applyFont="1" applyFill="1" applyBorder="1" applyAlignment="1">
      <alignment horizontal="center" vertical="center" wrapText="1"/>
    </xf>
    <xf numFmtId="172" fontId="15" fillId="33" borderId="18" xfId="44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 quotePrefix="1">
      <alignment horizontal="center" vertical="center" wrapText="1"/>
    </xf>
    <xf numFmtId="184" fontId="15" fillId="33" borderId="10" xfId="42" applyNumberFormat="1" applyFont="1" applyFill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vertical="top"/>
    </xf>
    <xf numFmtId="176" fontId="14" fillId="33" borderId="10" xfId="0" applyNumberFormat="1" applyFont="1" applyFill="1" applyBorder="1" applyAlignment="1">
      <alignment horizontal="right" vertical="center" wrapText="1"/>
    </xf>
    <xf numFmtId="172" fontId="15" fillId="33" borderId="10" xfId="44" applyNumberFormat="1" applyFont="1" applyFill="1" applyBorder="1" applyAlignment="1">
      <alignment horizontal="right" vertical="center" wrapText="1"/>
    </xf>
    <xf numFmtId="0" fontId="9" fillId="33" borderId="10" xfId="56" applyFont="1" applyFill="1" applyBorder="1" applyAlignment="1">
      <alignment horizontal="left" vertical="center" wrapText="1"/>
      <protection/>
    </xf>
    <xf numFmtId="174" fontId="9" fillId="33" borderId="14" xfId="42" applyNumberFormat="1" applyFont="1" applyFill="1" applyBorder="1" applyAlignment="1">
      <alignment horizontal="center" vertical="center"/>
    </xf>
    <xf numFmtId="174" fontId="6" fillId="33" borderId="0" xfId="0" applyNumberFormat="1" applyFont="1" applyFill="1" applyBorder="1" applyAlignment="1">
      <alignment/>
    </xf>
    <xf numFmtId="0" fontId="11" fillId="33" borderId="10" xfId="56" applyFont="1" applyFill="1" applyBorder="1" applyAlignment="1">
      <alignment horizontal="left" vertical="center" wrapText="1"/>
      <protection/>
    </xf>
    <xf numFmtId="49" fontId="9" fillId="34" borderId="13" xfId="1" applyNumberFormat="1" applyFont="1" applyFill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left" vertical="center" wrapText="1"/>
      <protection/>
    </xf>
    <xf numFmtId="174" fontId="9" fillId="34" borderId="10" xfId="58" applyNumberFormat="1" applyFont="1" applyFill="1" applyBorder="1" applyAlignment="1">
      <alignment vertical="center"/>
      <protection/>
    </xf>
    <xf numFmtId="172" fontId="9" fillId="34" borderId="10" xfId="42" applyNumberFormat="1" applyFont="1" applyFill="1" applyBorder="1" applyAlignment="1">
      <alignment vertical="center"/>
    </xf>
    <xf numFmtId="174" fontId="9" fillId="34" borderId="10" xfId="42" applyNumberFormat="1" applyFont="1" applyFill="1" applyBorder="1" applyAlignment="1">
      <alignment horizontal="center" vertical="center"/>
    </xf>
    <xf numFmtId="174" fontId="9" fillId="34" borderId="14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74" fontId="6" fillId="34" borderId="0" xfId="0" applyNumberFormat="1" applyFont="1" applyFill="1" applyBorder="1" applyAlignment="1">
      <alignment/>
    </xf>
    <xf numFmtId="0" fontId="11" fillId="34" borderId="10" xfId="56" applyFont="1" applyFill="1" applyBorder="1" applyAlignment="1">
      <alignment horizontal="left" vertical="center" wrapText="1"/>
      <protection/>
    </xf>
    <xf numFmtId="174" fontId="9" fillId="34" borderId="14" xfId="58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>
      <alignment horizontal="left" vertical="center" wrapText="1"/>
      <protection/>
    </xf>
    <xf numFmtId="174" fontId="9" fillId="34" borderId="14" xfId="42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44" fontId="13" fillId="33" borderId="10" xfId="44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172" fontId="5" fillId="33" borderId="20" xfId="42" applyNumberFormat="1" applyFont="1" applyFill="1" applyBorder="1" applyAlignment="1">
      <alignment horizontal="center" vertical="center"/>
    </xf>
    <xf numFmtId="172" fontId="5" fillId="33" borderId="21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44" fontId="13" fillId="33" borderId="10" xfId="44" applyFont="1" applyFill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172" fontId="13" fillId="33" borderId="10" xfId="42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textRotation="90"/>
    </xf>
    <xf numFmtId="0" fontId="14" fillId="33" borderId="10" xfId="55" applyFont="1" applyFill="1" applyBorder="1" applyAlignment="1">
      <alignment horizontal="center" vertical="center" textRotation="90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center" vertical="center" wrapText="1"/>
    </xf>
    <xf numFmtId="43" fontId="55" fillId="33" borderId="10" xfId="42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3" fontId="15" fillId="33" borderId="11" xfId="42" applyFont="1" applyFill="1" applyBorder="1" applyAlignment="1">
      <alignment horizontal="center" vertical="center" wrapText="1"/>
    </xf>
    <xf numFmtId="172" fontId="15" fillId="33" borderId="11" xfId="44" applyNumberFormat="1" applyFont="1" applyFill="1" applyBorder="1" applyAlignment="1">
      <alignment horizontal="center" vertical="center" wrapText="1"/>
    </xf>
    <xf numFmtId="172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 quotePrefix="1">
      <alignment horizontal="center" vertical="center" wrapText="1"/>
    </xf>
    <xf numFmtId="43" fontId="13" fillId="33" borderId="11" xfId="42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 quotePrefix="1">
      <alignment horizontal="center" vertical="center" wrapText="1"/>
    </xf>
    <xf numFmtId="43" fontId="15" fillId="33" borderId="10" xfId="42" applyNumberFormat="1" applyFont="1" applyFill="1" applyBorder="1" applyAlignment="1">
      <alignment horizontal="center" vertical="center" wrapText="1"/>
    </xf>
    <xf numFmtId="184" fontId="16" fillId="33" borderId="10" xfId="42" applyNumberFormat="1" applyFont="1" applyFill="1" applyBorder="1" applyAlignment="1">
      <alignment horizontal="center" vertical="center" wrapText="1"/>
    </xf>
    <xf numFmtId="184" fontId="15" fillId="33" borderId="10" xfId="42" applyNumberFormat="1" applyFont="1" applyFill="1" applyBorder="1" applyAlignment="1">
      <alignment horizontal="center" vertical="center" wrapText="1"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RANQACANK Hashvetv" xfId="55"/>
    <cellStyle name="Normal_Grants quartal" xfId="56"/>
    <cellStyle name="Normal_Transfert" xfId="57"/>
    <cellStyle name="Normal_transfert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Harutyunyan\Desktop\2014-Transfert-Eramsyak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-eramsyak-2014"/>
      <sheetName val="Transfert-chkapakcvac-2013"/>
      <sheetName val="Sheet1"/>
    </sheetNames>
    <sheetDataSet>
      <sheetData sheetId="0">
        <row r="21">
          <cell r="B21" t="str">
            <v>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v>
          </cell>
        </row>
        <row r="23">
          <cell r="B23" t="str">
    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67" zoomScaleNormal="67"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.8515625" style="5" customWidth="1"/>
    <col min="2" max="2" width="132.140625" style="27" customWidth="1"/>
    <col min="3" max="3" width="23.421875" style="27" customWidth="1"/>
    <col min="4" max="4" width="21.28125" style="27" customWidth="1"/>
    <col min="5" max="5" width="23.8515625" style="27" customWidth="1"/>
    <col min="6" max="6" width="22.00390625" style="5" customWidth="1"/>
    <col min="7" max="7" width="22.57421875" style="5" customWidth="1"/>
    <col min="8" max="8" width="19.140625" style="5" customWidth="1"/>
    <col min="9" max="9" width="22.00390625" style="5" customWidth="1"/>
    <col min="10" max="10" width="27.8515625" style="5" customWidth="1"/>
    <col min="11" max="11" width="21.7109375" style="5" customWidth="1"/>
    <col min="12" max="12" width="22.28125" style="5" bestFit="1" customWidth="1"/>
    <col min="13" max="13" width="21.8515625" style="5" customWidth="1"/>
    <col min="14" max="14" width="19.8515625" style="5" bestFit="1" customWidth="1"/>
    <col min="15" max="15" width="22.28125" style="5" bestFit="1" customWidth="1"/>
    <col min="16" max="16" width="19.7109375" style="5" bestFit="1" customWidth="1"/>
    <col min="17" max="17" width="21.8515625" style="5" customWidth="1"/>
    <col min="18" max="18" width="16.28125" style="5" customWidth="1"/>
    <col min="19" max="16384" width="9.140625" style="5" customWidth="1"/>
  </cols>
  <sheetData>
    <row r="1" spans="1:17" ht="18">
      <c r="A1" s="3"/>
      <c r="B1" s="119" t="s">
        <v>14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59"/>
      <c r="Q1" s="4"/>
    </row>
    <row r="2" spans="1:17" ht="18">
      <c r="A2" s="3"/>
      <c r="B2" s="119" t="s">
        <v>445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59"/>
      <c r="Q2" s="4"/>
    </row>
    <row r="3" spans="1:17" ht="18.75" thickBot="1">
      <c r="A3" s="3"/>
      <c r="B3" s="3" t="s">
        <v>0</v>
      </c>
      <c r="C3" s="6" t="s">
        <v>0</v>
      </c>
      <c r="D3" s="6"/>
      <c r="E3" s="7" t="s">
        <v>0</v>
      </c>
      <c r="F3" s="8" t="s">
        <v>0</v>
      </c>
      <c r="G3" s="8" t="s">
        <v>0</v>
      </c>
      <c r="H3" s="3"/>
      <c r="I3" s="9"/>
      <c r="J3" s="3"/>
      <c r="K3" s="10" t="s">
        <v>0</v>
      </c>
      <c r="L3" s="3" t="s">
        <v>0</v>
      </c>
      <c r="M3" s="3"/>
      <c r="N3" s="3"/>
      <c r="O3" s="11"/>
      <c r="P3" s="11"/>
      <c r="Q3" s="12" t="s">
        <v>15</v>
      </c>
    </row>
    <row r="4" spans="1:17" ht="20.25" customHeight="1">
      <c r="A4" s="120" t="s">
        <v>16</v>
      </c>
      <c r="B4" s="121"/>
      <c r="C4" s="115" t="s">
        <v>338</v>
      </c>
      <c r="D4" s="115"/>
      <c r="E4" s="115"/>
      <c r="F4" s="115" t="s">
        <v>17</v>
      </c>
      <c r="G4" s="115"/>
      <c r="H4" s="115"/>
      <c r="I4" s="115" t="s">
        <v>18</v>
      </c>
      <c r="J4" s="115"/>
      <c r="K4" s="115"/>
      <c r="L4" s="115" t="s">
        <v>19</v>
      </c>
      <c r="M4" s="115"/>
      <c r="N4" s="115"/>
      <c r="O4" s="115" t="s">
        <v>20</v>
      </c>
      <c r="P4" s="115"/>
      <c r="Q4" s="116"/>
    </row>
    <row r="5" spans="1:17" ht="15.75" customHeight="1">
      <c r="A5" s="122"/>
      <c r="B5" s="123"/>
      <c r="C5" s="13" t="s">
        <v>21</v>
      </c>
      <c r="D5" s="13" t="s">
        <v>22</v>
      </c>
      <c r="E5" s="13" t="s">
        <v>23</v>
      </c>
      <c r="F5" s="13" t="s">
        <v>21</v>
      </c>
      <c r="G5" s="13" t="s">
        <v>22</v>
      </c>
      <c r="H5" s="13" t="s">
        <v>23</v>
      </c>
      <c r="I5" s="13" t="s">
        <v>21</v>
      </c>
      <c r="J5" s="13" t="s">
        <v>22</v>
      </c>
      <c r="K5" s="13" t="s">
        <v>23</v>
      </c>
      <c r="L5" s="13" t="s">
        <v>21</v>
      </c>
      <c r="M5" s="13" t="s">
        <v>22</v>
      </c>
      <c r="N5" s="13" t="s">
        <v>23</v>
      </c>
      <c r="O5" s="14" t="s">
        <v>21</v>
      </c>
      <c r="P5" s="14" t="s">
        <v>22</v>
      </c>
      <c r="Q5" s="15" t="s">
        <v>23</v>
      </c>
    </row>
    <row r="6" spans="1:17" s="17" customFormat="1" ht="18">
      <c r="A6" s="117" t="s">
        <v>24</v>
      </c>
      <c r="B6" s="118"/>
      <c r="C6" s="16">
        <f>C7+C11</f>
        <v>19991751</v>
      </c>
      <c r="D6" s="16">
        <f aca="true" t="shared" si="0" ref="D6:Q6">D7+D11</f>
        <v>21501867.4</v>
      </c>
      <c r="E6" s="16">
        <f t="shared" si="0"/>
        <v>13128885.6117</v>
      </c>
      <c r="F6" s="16">
        <f t="shared" si="0"/>
        <v>9769328</v>
      </c>
      <c r="G6" s="16">
        <f t="shared" si="0"/>
        <v>10603298.6</v>
      </c>
      <c r="H6" s="16">
        <f t="shared" si="0"/>
        <v>3468529.23</v>
      </c>
      <c r="I6" s="16">
        <f t="shared" si="0"/>
        <v>3166469</v>
      </c>
      <c r="J6" s="16">
        <f t="shared" si="0"/>
        <v>3736959.0999999996</v>
      </c>
      <c r="K6" s="16">
        <f t="shared" si="0"/>
        <v>515809.80999999994</v>
      </c>
      <c r="L6" s="16">
        <f t="shared" si="0"/>
        <v>3950589</v>
      </c>
      <c r="M6" s="16">
        <f t="shared" si="0"/>
        <v>4017412.9</v>
      </c>
      <c r="N6" s="16">
        <f t="shared" si="0"/>
        <v>1446790.57</v>
      </c>
      <c r="O6" s="16">
        <f t="shared" si="0"/>
        <v>3105365</v>
      </c>
      <c r="P6" s="16">
        <f t="shared" si="0"/>
        <v>3144196.8</v>
      </c>
      <c r="Q6" s="16">
        <f t="shared" si="0"/>
        <v>7697756.001700001</v>
      </c>
    </row>
    <row r="7" spans="1:17" s="17" customFormat="1" ht="20.25">
      <c r="A7" s="117" t="s">
        <v>25</v>
      </c>
      <c r="B7" s="118"/>
      <c r="C7" s="18">
        <f aca="true" t="shared" si="1" ref="C7:Q7">SUM(C8:C10)</f>
        <v>7125430</v>
      </c>
      <c r="D7" s="18">
        <f t="shared" si="1"/>
        <v>7125430</v>
      </c>
      <c r="E7" s="18">
        <f t="shared" si="1"/>
        <v>7138948.5617</v>
      </c>
      <c r="F7" s="18">
        <f t="shared" si="1"/>
        <v>7125430</v>
      </c>
      <c r="G7" s="18">
        <f t="shared" si="1"/>
        <v>7125430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18">
        <f t="shared" si="1"/>
        <v>7138948.5617</v>
      </c>
    </row>
    <row r="8" spans="1:17" s="22" customFormat="1" ht="70.5" customHeight="1">
      <c r="A8" s="19" t="s">
        <v>26</v>
      </c>
      <c r="B8" s="20" t="s">
        <v>276</v>
      </c>
      <c r="C8" s="1">
        <f aca="true" t="shared" si="2" ref="C8:E9">F8+I8+L8+O8</f>
        <v>3288660</v>
      </c>
      <c r="D8" s="1">
        <f t="shared" si="2"/>
        <v>3288660</v>
      </c>
      <c r="E8" s="1">
        <f t="shared" si="2"/>
        <v>2630866.6</v>
      </c>
      <c r="F8" s="1">
        <v>3288660</v>
      </c>
      <c r="G8" s="1">
        <f>F8+0</f>
        <v>3288660</v>
      </c>
      <c r="H8" s="2">
        <v>0</v>
      </c>
      <c r="I8" s="2">
        <v>0</v>
      </c>
      <c r="J8" s="2">
        <f>I8+0</f>
        <v>0</v>
      </c>
      <c r="K8" s="2">
        <v>0</v>
      </c>
      <c r="L8" s="2">
        <v>0</v>
      </c>
      <c r="M8" s="2">
        <f>L8+0</f>
        <v>0</v>
      </c>
      <c r="N8" s="2">
        <v>0</v>
      </c>
      <c r="O8" s="2">
        <v>0</v>
      </c>
      <c r="P8" s="2">
        <f>O8+0</f>
        <v>0</v>
      </c>
      <c r="Q8" s="21">
        <v>2630866.6</v>
      </c>
    </row>
    <row r="9" spans="1:17" s="22" customFormat="1" ht="48.75" customHeight="1">
      <c r="A9" s="19" t="s">
        <v>27</v>
      </c>
      <c r="B9" s="20" t="s">
        <v>277</v>
      </c>
      <c r="C9" s="1">
        <f t="shared" si="2"/>
        <v>3836770</v>
      </c>
      <c r="D9" s="1">
        <f t="shared" si="2"/>
        <v>3836770</v>
      </c>
      <c r="E9" s="1">
        <f t="shared" si="2"/>
        <v>3261193.1</v>
      </c>
      <c r="F9" s="1">
        <v>3836770</v>
      </c>
      <c r="G9" s="1">
        <f>F9+0</f>
        <v>3836770</v>
      </c>
      <c r="H9" s="2">
        <v>0</v>
      </c>
      <c r="I9" s="2">
        <v>0</v>
      </c>
      <c r="J9" s="2">
        <f>I9+0</f>
        <v>0</v>
      </c>
      <c r="K9" s="2">
        <v>0</v>
      </c>
      <c r="L9" s="2">
        <v>0</v>
      </c>
      <c r="M9" s="2">
        <f>L9+0</f>
        <v>0</v>
      </c>
      <c r="N9" s="2">
        <v>0</v>
      </c>
      <c r="O9" s="2">
        <v>0</v>
      </c>
      <c r="P9" s="2">
        <f>O9+0</f>
        <v>0</v>
      </c>
      <c r="Q9" s="21">
        <v>3261193.1</v>
      </c>
    </row>
    <row r="10" spans="1:17" s="22" customFormat="1" ht="48.75" customHeight="1">
      <c r="A10" s="20" t="s">
        <v>1</v>
      </c>
      <c r="B10" s="20" t="s">
        <v>443</v>
      </c>
      <c r="C10" s="1" t="s">
        <v>444</v>
      </c>
      <c r="D10" s="1" t="s">
        <v>444</v>
      </c>
      <c r="E10" s="1">
        <f>H10+K10+N10+Q10</f>
        <v>1246888.8617</v>
      </c>
      <c r="F10" s="1" t="s">
        <v>444</v>
      </c>
      <c r="G10" s="1" t="s">
        <v>444</v>
      </c>
      <c r="H10" s="2">
        <v>0</v>
      </c>
      <c r="I10" s="2">
        <v>0</v>
      </c>
      <c r="J10" s="2">
        <f>I10+0</f>
        <v>0</v>
      </c>
      <c r="K10" s="2">
        <v>0</v>
      </c>
      <c r="L10" s="2">
        <v>0</v>
      </c>
      <c r="M10" s="2">
        <f>L10+0</f>
        <v>0</v>
      </c>
      <c r="N10" s="2">
        <v>0</v>
      </c>
      <c r="O10" s="2">
        <v>0</v>
      </c>
      <c r="P10" s="2">
        <v>0</v>
      </c>
      <c r="Q10" s="21">
        <v>1246888.8617</v>
      </c>
    </row>
    <row r="11" spans="1:17" ht="32.25" customHeight="1">
      <c r="A11" s="117" t="s">
        <v>28</v>
      </c>
      <c r="B11" s="118"/>
      <c r="C11" s="16">
        <f>SUM(C12:C47)</f>
        <v>12866321</v>
      </c>
      <c r="D11" s="16">
        <f aca="true" t="shared" si="3" ref="D11:Q11">SUM(D12:D47)</f>
        <v>14376437.4</v>
      </c>
      <c r="E11" s="16">
        <f t="shared" si="3"/>
        <v>5989937.05</v>
      </c>
      <c r="F11" s="16">
        <f t="shared" si="3"/>
        <v>2643898</v>
      </c>
      <c r="G11" s="16">
        <f t="shared" si="3"/>
        <v>3477868.6</v>
      </c>
      <c r="H11" s="16">
        <f t="shared" si="3"/>
        <v>3468529.23</v>
      </c>
      <c r="I11" s="16">
        <f t="shared" si="3"/>
        <v>3166469</v>
      </c>
      <c r="J11" s="16">
        <f t="shared" si="3"/>
        <v>3736959.0999999996</v>
      </c>
      <c r="K11" s="16">
        <f t="shared" si="3"/>
        <v>515809.80999999994</v>
      </c>
      <c r="L11" s="16">
        <f t="shared" si="3"/>
        <v>3950589</v>
      </c>
      <c r="M11" s="16">
        <f>SUM(M12:M47)</f>
        <v>4017412.9</v>
      </c>
      <c r="N11" s="16">
        <f t="shared" si="3"/>
        <v>1446790.57</v>
      </c>
      <c r="O11" s="16">
        <f t="shared" si="3"/>
        <v>3105365</v>
      </c>
      <c r="P11" s="16">
        <f t="shared" si="3"/>
        <v>3144196.8</v>
      </c>
      <c r="Q11" s="16">
        <f t="shared" si="3"/>
        <v>558807.44</v>
      </c>
    </row>
    <row r="12" spans="1:17" ht="54" customHeight="1">
      <c r="A12" s="19" t="s">
        <v>26</v>
      </c>
      <c r="B12" s="20" t="s">
        <v>278</v>
      </c>
      <c r="C12" s="1">
        <f>F12+I12+L12+O12</f>
        <v>2364292</v>
      </c>
      <c r="D12" s="1">
        <f>G12+J12+M12+P12</f>
        <v>2364292</v>
      </c>
      <c r="E12" s="1">
        <f>H12+K12+N12+Q12</f>
        <v>0</v>
      </c>
      <c r="F12" s="23">
        <f>625115</f>
        <v>625115</v>
      </c>
      <c r="G12" s="24">
        <f aca="true" t="shared" si="4" ref="G12:G39">F12+0</f>
        <v>625115</v>
      </c>
      <c r="H12" s="24">
        <v>0</v>
      </c>
      <c r="I12" s="23">
        <f>625116</f>
        <v>625116</v>
      </c>
      <c r="J12" s="24">
        <f aca="true" t="shared" si="5" ref="J12:J40">I12+0</f>
        <v>625116</v>
      </c>
      <c r="K12" s="24">
        <v>0</v>
      </c>
      <c r="L12" s="23">
        <f>625116</f>
        <v>625116</v>
      </c>
      <c r="M12" s="24">
        <f aca="true" t="shared" si="6" ref="M12:M40">L12+0</f>
        <v>625116</v>
      </c>
      <c r="N12" s="24">
        <v>0</v>
      </c>
      <c r="O12" s="23">
        <f>488945</f>
        <v>488945</v>
      </c>
      <c r="P12" s="24">
        <f aca="true" t="shared" si="7" ref="P12:P18">O12+0</f>
        <v>488945</v>
      </c>
      <c r="Q12" s="25"/>
    </row>
    <row r="13" spans="1:17" ht="45.75" customHeight="1">
      <c r="A13" s="19" t="s">
        <v>27</v>
      </c>
      <c r="B13" s="20" t="str">
        <f>'[1]Transfert-eramsyak-2014'!$B$21</f>
        <v>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v>
      </c>
      <c r="C13" s="1">
        <f aca="true" t="shared" si="8" ref="C13:C47">F13+I13+L13+O13</f>
        <v>748884</v>
      </c>
      <c r="D13" s="1">
        <f aca="true" t="shared" si="9" ref="D13:E15">G13+J13+M13+P13</f>
        <v>748884</v>
      </c>
      <c r="E13" s="1">
        <f t="shared" si="9"/>
        <v>0</v>
      </c>
      <c r="F13" s="23">
        <f>187914</f>
        <v>187914</v>
      </c>
      <c r="G13" s="24">
        <f t="shared" si="4"/>
        <v>187914</v>
      </c>
      <c r="H13" s="24">
        <v>0</v>
      </c>
      <c r="I13" s="23">
        <v>187914</v>
      </c>
      <c r="J13" s="24">
        <f t="shared" si="5"/>
        <v>187914</v>
      </c>
      <c r="K13" s="24">
        <v>0</v>
      </c>
      <c r="L13" s="23">
        <v>187914</v>
      </c>
      <c r="M13" s="24">
        <f t="shared" si="6"/>
        <v>187914</v>
      </c>
      <c r="N13" s="24">
        <v>0</v>
      </c>
      <c r="O13" s="23">
        <v>185142</v>
      </c>
      <c r="P13" s="26">
        <f t="shared" si="7"/>
        <v>185142</v>
      </c>
      <c r="Q13" s="25"/>
    </row>
    <row r="14" spans="1:17" ht="40.5" customHeight="1">
      <c r="A14" s="19" t="s">
        <v>1</v>
      </c>
      <c r="B14" s="20" t="s">
        <v>365</v>
      </c>
      <c r="C14" s="1">
        <f t="shared" si="8"/>
        <v>96654</v>
      </c>
      <c r="D14" s="1">
        <f t="shared" si="9"/>
        <v>96654</v>
      </c>
      <c r="E14" s="1">
        <f t="shared" si="9"/>
        <v>91941.75</v>
      </c>
      <c r="F14" s="23">
        <f>24253</f>
        <v>24253</v>
      </c>
      <c r="G14" s="24">
        <f t="shared" si="4"/>
        <v>24253</v>
      </c>
      <c r="H14" s="1">
        <v>32562.85</v>
      </c>
      <c r="I14" s="23">
        <f>24253</f>
        <v>24253</v>
      </c>
      <c r="J14" s="24">
        <f t="shared" si="5"/>
        <v>24253</v>
      </c>
      <c r="K14" s="1">
        <v>30029.18</v>
      </c>
      <c r="L14" s="23">
        <f>24253</f>
        <v>24253</v>
      </c>
      <c r="M14" s="24">
        <f t="shared" si="6"/>
        <v>24253</v>
      </c>
      <c r="N14" s="24">
        <v>29349.72</v>
      </c>
      <c r="O14" s="23">
        <f>23895</f>
        <v>23895</v>
      </c>
      <c r="P14" s="26">
        <f t="shared" si="7"/>
        <v>23895</v>
      </c>
      <c r="Q14" s="25"/>
    </row>
    <row r="15" spans="1:17" ht="51.75" customHeight="1">
      <c r="A15" s="19" t="s">
        <v>29</v>
      </c>
      <c r="B15" s="92" t="str">
        <f>'[1]Transfert-eramsyak-2014'!$B$23</f>
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</c>
      <c r="C15" s="1">
        <f t="shared" si="8"/>
        <v>75229</v>
      </c>
      <c r="D15" s="1">
        <f t="shared" si="9"/>
        <v>113911.3</v>
      </c>
      <c r="E15" s="1">
        <f t="shared" si="9"/>
        <v>85614.39</v>
      </c>
      <c r="F15" s="23">
        <v>18877</v>
      </c>
      <c r="G15" s="24">
        <f t="shared" si="4"/>
        <v>18877</v>
      </c>
      <c r="H15" s="1">
        <v>-41101</v>
      </c>
      <c r="I15" s="23">
        <f>18877</f>
        <v>18877</v>
      </c>
      <c r="J15" s="24">
        <f t="shared" si="5"/>
        <v>18877</v>
      </c>
      <c r="K15" s="24">
        <v>41359</v>
      </c>
      <c r="L15" s="23">
        <f>18877</f>
        <v>18877</v>
      </c>
      <c r="M15" s="24">
        <v>57559.3</v>
      </c>
      <c r="N15" s="24">
        <v>85356.39</v>
      </c>
      <c r="O15" s="23">
        <f>18598</f>
        <v>18598</v>
      </c>
      <c r="P15" s="26">
        <f t="shared" si="7"/>
        <v>18598</v>
      </c>
      <c r="Q15" s="93"/>
    </row>
    <row r="16" spans="1:17" ht="38.25" customHeight="1">
      <c r="A16" s="19" t="s">
        <v>2</v>
      </c>
      <c r="B16" s="92" t="s">
        <v>279</v>
      </c>
      <c r="C16" s="1">
        <f t="shared" si="8"/>
        <v>48266</v>
      </c>
      <c r="D16" s="1">
        <f aca="true" t="shared" si="10" ref="D16:D46">G16+J16+M16+P16</f>
        <v>48266</v>
      </c>
      <c r="E16" s="1">
        <f aca="true" t="shared" si="11" ref="E16:E47">H16+K16+N16+Q16</f>
        <v>-41101</v>
      </c>
      <c r="F16" s="23">
        <v>12111</v>
      </c>
      <c r="G16" s="24">
        <f t="shared" si="4"/>
        <v>12111</v>
      </c>
      <c r="H16" s="1">
        <v>-41101</v>
      </c>
      <c r="I16" s="23">
        <v>12111</v>
      </c>
      <c r="J16" s="24">
        <f t="shared" si="5"/>
        <v>12111</v>
      </c>
      <c r="K16" s="1">
        <v>0</v>
      </c>
      <c r="L16" s="23">
        <v>12111</v>
      </c>
      <c r="M16" s="24">
        <f t="shared" si="6"/>
        <v>12111</v>
      </c>
      <c r="N16" s="24">
        <v>0</v>
      </c>
      <c r="O16" s="23">
        <v>11933</v>
      </c>
      <c r="P16" s="26">
        <f t="shared" si="7"/>
        <v>11933</v>
      </c>
      <c r="Q16" s="93"/>
    </row>
    <row r="17" spans="1:17" ht="43.5" customHeight="1">
      <c r="A17" s="19" t="s">
        <v>3</v>
      </c>
      <c r="B17" s="92" t="s">
        <v>280</v>
      </c>
      <c r="C17" s="1">
        <f t="shared" si="8"/>
        <v>73109</v>
      </c>
      <c r="D17" s="1">
        <f t="shared" si="10"/>
        <v>119810</v>
      </c>
      <c r="E17" s="1">
        <f t="shared" si="11"/>
        <v>39803.84</v>
      </c>
      <c r="F17" s="23">
        <v>18345</v>
      </c>
      <c r="G17" s="24">
        <f t="shared" si="4"/>
        <v>18345</v>
      </c>
      <c r="H17" s="1">
        <v>19645.4</v>
      </c>
      <c r="I17" s="23">
        <v>18345</v>
      </c>
      <c r="J17" s="24">
        <f t="shared" si="5"/>
        <v>18345</v>
      </c>
      <c r="K17" s="1">
        <v>0</v>
      </c>
      <c r="L17" s="23">
        <v>18345</v>
      </c>
      <c r="M17" s="24">
        <v>65046</v>
      </c>
      <c r="N17" s="24">
        <v>20158.44</v>
      </c>
      <c r="O17" s="23">
        <v>18074</v>
      </c>
      <c r="P17" s="26">
        <f t="shared" si="7"/>
        <v>18074</v>
      </c>
      <c r="Q17" s="93"/>
    </row>
    <row r="18" spans="1:17" ht="53.25" customHeight="1">
      <c r="A18" s="19" t="s">
        <v>4</v>
      </c>
      <c r="B18" s="92" t="s">
        <v>281</v>
      </c>
      <c r="C18" s="1">
        <f t="shared" si="8"/>
        <v>290652</v>
      </c>
      <c r="D18" s="1">
        <f t="shared" si="10"/>
        <v>188477</v>
      </c>
      <c r="E18" s="1">
        <f t="shared" si="11"/>
        <v>92944.7</v>
      </c>
      <c r="F18" s="23">
        <v>116691</v>
      </c>
      <c r="G18" s="24">
        <f t="shared" si="4"/>
        <v>116691</v>
      </c>
      <c r="H18" s="1">
        <v>61312.5</v>
      </c>
      <c r="I18" s="23">
        <v>116691</v>
      </c>
      <c r="J18" s="24">
        <f t="shared" si="5"/>
        <v>116691</v>
      </c>
      <c r="K18" s="1">
        <v>0</v>
      </c>
      <c r="L18" s="23">
        <v>57270</v>
      </c>
      <c r="M18" s="24">
        <v>-44905</v>
      </c>
      <c r="N18" s="24">
        <v>31632.2</v>
      </c>
      <c r="O18" s="23">
        <v>0</v>
      </c>
      <c r="P18" s="24">
        <f t="shared" si="7"/>
        <v>0</v>
      </c>
      <c r="Q18" s="93"/>
    </row>
    <row r="19" spans="1:17" ht="46.5" customHeight="1">
      <c r="A19" s="19" t="s">
        <v>5</v>
      </c>
      <c r="B19" s="92" t="s">
        <v>282</v>
      </c>
      <c r="C19" s="1">
        <f t="shared" si="8"/>
        <v>106988</v>
      </c>
      <c r="D19" s="1">
        <f t="shared" si="10"/>
        <v>123779.5</v>
      </c>
      <c r="E19" s="1">
        <f t="shared" si="11"/>
        <v>72737</v>
      </c>
      <c r="F19" s="23">
        <v>26846</v>
      </c>
      <c r="G19" s="24">
        <f t="shared" si="4"/>
        <v>26846</v>
      </c>
      <c r="H19" s="1">
        <v>0</v>
      </c>
      <c r="I19" s="23">
        <v>26846</v>
      </c>
      <c r="J19" s="24">
        <f t="shared" si="5"/>
        <v>26846</v>
      </c>
      <c r="K19" s="1">
        <v>41367</v>
      </c>
      <c r="L19" s="23">
        <v>26846</v>
      </c>
      <c r="M19" s="24">
        <v>43637.5</v>
      </c>
      <c r="N19" s="24">
        <v>31370</v>
      </c>
      <c r="O19" s="23">
        <v>26450</v>
      </c>
      <c r="P19" s="24">
        <f aca="true" t="shared" si="12" ref="P19:P40">O19+0</f>
        <v>26450</v>
      </c>
      <c r="Q19" s="93"/>
    </row>
    <row r="20" spans="1:17" ht="43.5" customHeight="1">
      <c r="A20" s="19" t="s">
        <v>6</v>
      </c>
      <c r="B20" s="92" t="s">
        <v>283</v>
      </c>
      <c r="C20" s="1">
        <f t="shared" si="8"/>
        <v>81052</v>
      </c>
      <c r="D20" s="1">
        <f t="shared" si="10"/>
        <v>81052</v>
      </c>
      <c r="E20" s="1">
        <f t="shared" si="11"/>
        <v>40966</v>
      </c>
      <c r="F20" s="23">
        <v>20338</v>
      </c>
      <c r="G20" s="24">
        <f t="shared" si="4"/>
        <v>20338</v>
      </c>
      <c r="H20" s="1">
        <v>0</v>
      </c>
      <c r="I20" s="23">
        <v>20338</v>
      </c>
      <c r="J20" s="24">
        <f t="shared" si="5"/>
        <v>20338</v>
      </c>
      <c r="K20" s="1">
        <v>0</v>
      </c>
      <c r="L20" s="23">
        <v>20338</v>
      </c>
      <c r="M20" s="24">
        <f t="shared" si="6"/>
        <v>20338</v>
      </c>
      <c r="N20" s="24">
        <v>40966</v>
      </c>
      <c r="O20" s="23">
        <v>20038</v>
      </c>
      <c r="P20" s="24">
        <f t="shared" si="12"/>
        <v>20038</v>
      </c>
      <c r="Q20" s="93"/>
    </row>
    <row r="21" spans="1:17" ht="43.5" customHeight="1">
      <c r="A21" s="19" t="s">
        <v>7</v>
      </c>
      <c r="B21" s="92" t="s">
        <v>284</v>
      </c>
      <c r="C21" s="1">
        <f t="shared" si="8"/>
        <v>57953</v>
      </c>
      <c r="D21" s="1">
        <f t="shared" si="10"/>
        <v>57953</v>
      </c>
      <c r="E21" s="1">
        <f t="shared" si="11"/>
        <v>48919.2</v>
      </c>
      <c r="F21" s="23">
        <v>14542</v>
      </c>
      <c r="G21" s="24">
        <f t="shared" si="4"/>
        <v>14542</v>
      </c>
      <c r="H21" s="1">
        <v>0</v>
      </c>
      <c r="I21" s="23">
        <v>14542</v>
      </c>
      <c r="J21" s="24">
        <f t="shared" si="5"/>
        <v>14542</v>
      </c>
      <c r="K21" s="1">
        <v>0</v>
      </c>
      <c r="L21" s="23">
        <v>14542</v>
      </c>
      <c r="M21" s="24">
        <f t="shared" si="6"/>
        <v>14542</v>
      </c>
      <c r="N21" s="24">
        <v>48919.2</v>
      </c>
      <c r="O21" s="23">
        <v>14327</v>
      </c>
      <c r="P21" s="24">
        <f t="shared" si="12"/>
        <v>14327</v>
      </c>
      <c r="Q21" s="93"/>
    </row>
    <row r="22" spans="1:18" ht="48" customHeight="1">
      <c r="A22" s="19" t="s">
        <v>8</v>
      </c>
      <c r="B22" s="92" t="s">
        <v>320</v>
      </c>
      <c r="C22" s="1">
        <f t="shared" si="8"/>
        <v>129278</v>
      </c>
      <c r="D22" s="1">
        <f t="shared" si="10"/>
        <v>129278</v>
      </c>
      <c r="E22" s="1">
        <f t="shared" si="11"/>
        <v>0</v>
      </c>
      <c r="F22" s="23">
        <v>32439</v>
      </c>
      <c r="G22" s="24">
        <f t="shared" si="4"/>
        <v>32439</v>
      </c>
      <c r="H22" s="1">
        <v>0</v>
      </c>
      <c r="I22" s="23">
        <v>32439</v>
      </c>
      <c r="J22" s="24">
        <f t="shared" si="5"/>
        <v>32439</v>
      </c>
      <c r="K22" s="1">
        <v>0</v>
      </c>
      <c r="L22" s="23">
        <v>32439</v>
      </c>
      <c r="M22" s="24">
        <f t="shared" si="6"/>
        <v>32439</v>
      </c>
      <c r="N22" s="24">
        <v>0</v>
      </c>
      <c r="O22" s="23">
        <v>31961</v>
      </c>
      <c r="P22" s="24">
        <f t="shared" si="12"/>
        <v>31961</v>
      </c>
      <c r="Q22" s="25"/>
      <c r="R22" s="94"/>
    </row>
    <row r="23" spans="1:18" s="102" customFormat="1" ht="48" customHeight="1">
      <c r="A23" s="96" t="s">
        <v>9</v>
      </c>
      <c r="B23" s="97" t="s">
        <v>39</v>
      </c>
      <c r="C23" s="98">
        <f t="shared" si="8"/>
        <v>418634</v>
      </c>
      <c r="D23" s="98">
        <f t="shared" si="10"/>
        <v>418634</v>
      </c>
      <c r="E23" s="98">
        <f t="shared" si="11"/>
        <v>215403</v>
      </c>
      <c r="F23" s="99">
        <v>62795</v>
      </c>
      <c r="G23" s="100">
        <f t="shared" si="4"/>
        <v>62795</v>
      </c>
      <c r="H23" s="98">
        <v>0</v>
      </c>
      <c r="I23" s="99">
        <v>104658</v>
      </c>
      <c r="J23" s="100">
        <f t="shared" si="5"/>
        <v>104658</v>
      </c>
      <c r="K23" s="98">
        <v>54396</v>
      </c>
      <c r="L23" s="99">
        <v>146522</v>
      </c>
      <c r="M23" s="100">
        <f t="shared" si="6"/>
        <v>146522</v>
      </c>
      <c r="N23" s="100">
        <v>0</v>
      </c>
      <c r="O23" s="99">
        <v>104659</v>
      </c>
      <c r="P23" s="100">
        <f t="shared" si="12"/>
        <v>104659</v>
      </c>
      <c r="Q23" s="101">
        <v>161007</v>
      </c>
      <c r="R23" s="103"/>
    </row>
    <row r="24" spans="1:17" ht="51.75">
      <c r="A24" s="19" t="s">
        <v>10</v>
      </c>
      <c r="B24" s="92" t="s">
        <v>30</v>
      </c>
      <c r="C24" s="1">
        <f t="shared" si="8"/>
        <v>1059432</v>
      </c>
      <c r="D24" s="1">
        <f t="shared" si="10"/>
        <v>1059432</v>
      </c>
      <c r="E24" s="1">
        <f t="shared" si="11"/>
        <v>0</v>
      </c>
      <c r="F24" s="23">
        <v>0</v>
      </c>
      <c r="G24" s="24">
        <f t="shared" si="4"/>
        <v>0</v>
      </c>
      <c r="H24" s="24">
        <v>0</v>
      </c>
      <c r="I24" s="23">
        <v>0</v>
      </c>
      <c r="J24" s="24">
        <f t="shared" si="5"/>
        <v>0</v>
      </c>
      <c r="K24" s="1"/>
      <c r="L24" s="23">
        <v>529716</v>
      </c>
      <c r="M24" s="24">
        <f t="shared" si="6"/>
        <v>529716</v>
      </c>
      <c r="N24" s="24">
        <v>0</v>
      </c>
      <c r="O24" s="23">
        <v>529716</v>
      </c>
      <c r="P24" s="24">
        <f t="shared" si="12"/>
        <v>529716</v>
      </c>
      <c r="Q24" s="25"/>
    </row>
    <row r="25" spans="1:17" s="102" customFormat="1" ht="51.75">
      <c r="A25" s="96" t="s">
        <v>11</v>
      </c>
      <c r="B25" s="97" t="s">
        <v>31</v>
      </c>
      <c r="C25" s="98">
        <f t="shared" si="8"/>
        <v>298374</v>
      </c>
      <c r="D25" s="98">
        <f t="shared" si="10"/>
        <v>298374</v>
      </c>
      <c r="E25" s="98">
        <f>H25+K25+N25+Q25</f>
        <v>286878.79000000004</v>
      </c>
      <c r="F25" s="99">
        <v>149187</v>
      </c>
      <c r="G25" s="100">
        <f t="shared" si="4"/>
        <v>149187</v>
      </c>
      <c r="H25" s="100">
        <v>113850.81</v>
      </c>
      <c r="I25" s="99">
        <v>149187</v>
      </c>
      <c r="J25" s="100">
        <f t="shared" si="5"/>
        <v>149187</v>
      </c>
      <c r="K25" s="98">
        <v>5681.89</v>
      </c>
      <c r="L25" s="99">
        <v>0</v>
      </c>
      <c r="M25" s="100">
        <f t="shared" si="6"/>
        <v>0</v>
      </c>
      <c r="N25" s="100">
        <v>13685.45</v>
      </c>
      <c r="O25" s="99">
        <v>0</v>
      </c>
      <c r="P25" s="100">
        <f t="shared" si="12"/>
        <v>0</v>
      </c>
      <c r="Q25" s="101">
        <v>153660.64</v>
      </c>
    </row>
    <row r="26" spans="1:17" s="102" customFormat="1" ht="44.25" customHeight="1">
      <c r="A26" s="96" t="s">
        <v>12</v>
      </c>
      <c r="B26" s="97" t="s">
        <v>286</v>
      </c>
      <c r="C26" s="98">
        <f t="shared" si="8"/>
        <v>174521</v>
      </c>
      <c r="D26" s="98">
        <f t="shared" si="10"/>
        <v>174521</v>
      </c>
      <c r="E26" s="98">
        <f t="shared" si="11"/>
        <v>178111.56999999998</v>
      </c>
      <c r="F26" s="99">
        <v>147672</v>
      </c>
      <c r="G26" s="100">
        <f t="shared" si="4"/>
        <v>147672</v>
      </c>
      <c r="H26" s="100">
        <v>0</v>
      </c>
      <c r="I26" s="99">
        <v>0</v>
      </c>
      <c r="J26" s="100">
        <f t="shared" si="5"/>
        <v>0</v>
      </c>
      <c r="K26" s="98">
        <v>0</v>
      </c>
      <c r="L26" s="99">
        <v>26849</v>
      </c>
      <c r="M26" s="100">
        <f t="shared" si="6"/>
        <v>26849</v>
      </c>
      <c r="N26" s="100">
        <v>152046.05</v>
      </c>
      <c r="O26" s="99">
        <v>0</v>
      </c>
      <c r="P26" s="100">
        <f t="shared" si="12"/>
        <v>0</v>
      </c>
      <c r="Q26" s="101">
        <v>26065.52</v>
      </c>
    </row>
    <row r="27" spans="1:17" s="102" customFormat="1" ht="42" customHeight="1">
      <c r="A27" s="96" t="s">
        <v>13</v>
      </c>
      <c r="B27" s="97" t="s">
        <v>287</v>
      </c>
      <c r="C27" s="98">
        <f t="shared" si="8"/>
        <v>432450</v>
      </c>
      <c r="D27" s="98">
        <f t="shared" si="10"/>
        <v>432450</v>
      </c>
      <c r="E27" s="98">
        <f t="shared" si="11"/>
        <v>430159.2</v>
      </c>
      <c r="F27" s="99">
        <v>0</v>
      </c>
      <c r="G27" s="100">
        <f t="shared" si="4"/>
        <v>0</v>
      </c>
      <c r="H27" s="100">
        <v>328821.5</v>
      </c>
      <c r="I27" s="99">
        <v>216225</v>
      </c>
      <c r="J27" s="100">
        <f t="shared" si="5"/>
        <v>216225</v>
      </c>
      <c r="K27" s="98">
        <v>0</v>
      </c>
      <c r="L27" s="99">
        <v>216225</v>
      </c>
      <c r="M27" s="100">
        <f>L27+0</f>
        <v>216225</v>
      </c>
      <c r="N27" s="100">
        <f>89238.9+11391.8</f>
        <v>100630.7</v>
      </c>
      <c r="O27" s="99">
        <v>0</v>
      </c>
      <c r="P27" s="100">
        <f t="shared" si="12"/>
        <v>0</v>
      </c>
      <c r="Q27" s="101">
        <v>707</v>
      </c>
    </row>
    <row r="28" spans="1:17" s="102" customFormat="1" ht="56.25" customHeight="1">
      <c r="A28" s="96" t="s">
        <v>33</v>
      </c>
      <c r="B28" s="97" t="s">
        <v>288</v>
      </c>
      <c r="C28" s="98">
        <f t="shared" si="8"/>
        <v>174134</v>
      </c>
      <c r="D28" s="98">
        <f t="shared" si="10"/>
        <v>174134</v>
      </c>
      <c r="E28" s="98">
        <f t="shared" si="11"/>
        <v>140759.21000000002</v>
      </c>
      <c r="F28" s="99">
        <v>46496</v>
      </c>
      <c r="G28" s="100">
        <f>F28+0</f>
        <v>46496</v>
      </c>
      <c r="H28" s="98">
        <v>37688.3</v>
      </c>
      <c r="I28" s="99">
        <v>34872</v>
      </c>
      <c r="J28" s="100">
        <f>I28+0</f>
        <v>34872</v>
      </c>
      <c r="K28" s="98">
        <v>0</v>
      </c>
      <c r="L28" s="99">
        <v>60386</v>
      </c>
      <c r="M28" s="100">
        <f>L28+0</f>
        <v>60386</v>
      </c>
      <c r="N28" s="100">
        <v>89564.8</v>
      </c>
      <c r="O28" s="99">
        <v>32380</v>
      </c>
      <c r="P28" s="100">
        <f>O28+0</f>
        <v>32380</v>
      </c>
      <c r="Q28" s="101">
        <v>13506.11</v>
      </c>
    </row>
    <row r="29" spans="1:17" s="102" customFormat="1" ht="54.75" customHeight="1">
      <c r="A29" s="96" t="s">
        <v>34</v>
      </c>
      <c r="B29" s="97" t="s">
        <v>289</v>
      </c>
      <c r="C29" s="98">
        <f t="shared" si="8"/>
        <v>1537624</v>
      </c>
      <c r="D29" s="98">
        <f t="shared" si="10"/>
        <v>1537624</v>
      </c>
      <c r="E29" s="98">
        <f t="shared" si="11"/>
        <v>2760096</v>
      </c>
      <c r="F29" s="99">
        <v>230644</v>
      </c>
      <c r="G29" s="100">
        <f t="shared" si="4"/>
        <v>230644</v>
      </c>
      <c r="H29" s="98">
        <v>2760096</v>
      </c>
      <c r="I29" s="99">
        <v>461287</v>
      </c>
      <c r="J29" s="100">
        <f t="shared" si="5"/>
        <v>461287</v>
      </c>
      <c r="K29" s="98">
        <v>0</v>
      </c>
      <c r="L29" s="99">
        <v>562770</v>
      </c>
      <c r="M29" s="100">
        <f t="shared" si="6"/>
        <v>562770</v>
      </c>
      <c r="N29" s="98">
        <v>0</v>
      </c>
      <c r="O29" s="99">
        <v>282923</v>
      </c>
      <c r="P29" s="100">
        <f t="shared" si="12"/>
        <v>282923</v>
      </c>
      <c r="Q29" s="105">
        <v>0</v>
      </c>
    </row>
    <row r="30" spans="1:18" s="102" customFormat="1" ht="34.5">
      <c r="A30" s="96" t="s">
        <v>35</v>
      </c>
      <c r="B30" s="97" t="s">
        <v>32</v>
      </c>
      <c r="C30" s="98">
        <f t="shared" si="8"/>
        <v>135236</v>
      </c>
      <c r="D30" s="98">
        <f t="shared" si="10"/>
        <v>135236</v>
      </c>
      <c r="E30" s="98">
        <f t="shared" si="11"/>
        <v>205848.6</v>
      </c>
      <c r="F30" s="99">
        <v>33809</v>
      </c>
      <c r="G30" s="100">
        <f aca="true" t="shared" si="13" ref="G30:G36">F30+0</f>
        <v>33809</v>
      </c>
      <c r="H30" s="98">
        <v>50825.1</v>
      </c>
      <c r="I30" s="99">
        <v>33809</v>
      </c>
      <c r="J30" s="100">
        <f t="shared" si="5"/>
        <v>33809</v>
      </c>
      <c r="K30" s="98">
        <v>52720.1</v>
      </c>
      <c r="L30" s="99">
        <v>33809</v>
      </c>
      <c r="M30" s="100">
        <f aca="true" t="shared" si="14" ref="M30:M36">L30+0</f>
        <v>33809</v>
      </c>
      <c r="N30" s="98">
        <v>44561</v>
      </c>
      <c r="O30" s="99">
        <v>33809</v>
      </c>
      <c r="P30" s="100">
        <f t="shared" si="12"/>
        <v>33809</v>
      </c>
      <c r="Q30" s="101">
        <v>57742.4</v>
      </c>
      <c r="R30" s="103"/>
    </row>
    <row r="31" spans="1:17" s="102" customFormat="1" ht="42" customHeight="1">
      <c r="A31" s="96" t="s">
        <v>36</v>
      </c>
      <c r="B31" s="97" t="s">
        <v>189</v>
      </c>
      <c r="C31" s="98">
        <f aca="true" t="shared" si="15" ref="C31:C36">F31+I31+L31+O31</f>
        <v>86126</v>
      </c>
      <c r="D31" s="98">
        <f t="shared" si="10"/>
        <v>86126</v>
      </c>
      <c r="E31" s="98">
        <f t="shared" si="11"/>
        <v>86033.07</v>
      </c>
      <c r="F31" s="99">
        <v>18642</v>
      </c>
      <c r="G31" s="100">
        <f t="shared" si="13"/>
        <v>18642</v>
      </c>
      <c r="H31" s="98">
        <v>6199.51</v>
      </c>
      <c r="I31" s="99">
        <v>23505</v>
      </c>
      <c r="J31" s="100">
        <f t="shared" si="5"/>
        <v>23505</v>
      </c>
      <c r="K31" s="98">
        <v>19301.58</v>
      </c>
      <c r="L31" s="99">
        <v>26022</v>
      </c>
      <c r="M31" s="100">
        <f t="shared" si="14"/>
        <v>26022</v>
      </c>
      <c r="N31" s="98">
        <v>26574.11</v>
      </c>
      <c r="O31" s="99">
        <v>17957</v>
      </c>
      <c r="P31" s="100">
        <f t="shared" si="12"/>
        <v>17957</v>
      </c>
      <c r="Q31" s="101">
        <v>33957.87</v>
      </c>
    </row>
    <row r="32" spans="1:18" s="102" customFormat="1" ht="41.25" customHeight="1">
      <c r="A32" s="96" t="s">
        <v>37</v>
      </c>
      <c r="B32" s="97" t="s">
        <v>305</v>
      </c>
      <c r="C32" s="98">
        <f t="shared" si="15"/>
        <v>170209</v>
      </c>
      <c r="D32" s="98">
        <f t="shared" si="10"/>
        <v>170209</v>
      </c>
      <c r="E32" s="98">
        <f t="shared" si="11"/>
        <v>156995.09</v>
      </c>
      <c r="F32" s="99">
        <v>22289</v>
      </c>
      <c r="G32" s="100">
        <f t="shared" si="13"/>
        <v>22289</v>
      </c>
      <c r="H32" s="98">
        <v>74689.2</v>
      </c>
      <c r="I32" s="99">
        <v>30395</v>
      </c>
      <c r="J32" s="100">
        <f>I32+0</f>
        <v>30395</v>
      </c>
      <c r="K32" s="98">
        <v>0</v>
      </c>
      <c r="L32" s="99">
        <v>62815</v>
      </c>
      <c r="M32" s="100">
        <f t="shared" si="14"/>
        <v>62815</v>
      </c>
      <c r="N32" s="98">
        <v>24129.16</v>
      </c>
      <c r="O32" s="99">
        <v>54710</v>
      </c>
      <c r="P32" s="100">
        <f>O32+0</f>
        <v>54710</v>
      </c>
      <c r="Q32" s="101">
        <v>58176.73</v>
      </c>
      <c r="R32" s="103"/>
    </row>
    <row r="33" spans="1:18" s="102" customFormat="1" ht="39.75" customHeight="1">
      <c r="A33" s="96" t="s">
        <v>38</v>
      </c>
      <c r="B33" s="97" t="s">
        <v>290</v>
      </c>
      <c r="C33" s="98">
        <f t="shared" si="15"/>
        <v>180422</v>
      </c>
      <c r="D33" s="98">
        <f t="shared" si="10"/>
        <v>180422</v>
      </c>
      <c r="E33" s="98">
        <f t="shared" si="11"/>
        <v>0</v>
      </c>
      <c r="F33" s="99">
        <v>30717</v>
      </c>
      <c r="G33" s="100">
        <f t="shared" si="13"/>
        <v>30717</v>
      </c>
      <c r="H33" s="98">
        <v>0</v>
      </c>
      <c r="I33" s="99">
        <v>61411</v>
      </c>
      <c r="J33" s="100">
        <f>I33+0</f>
        <v>61411</v>
      </c>
      <c r="K33" s="98">
        <v>0</v>
      </c>
      <c r="L33" s="99">
        <v>29810</v>
      </c>
      <c r="M33" s="100">
        <f t="shared" si="14"/>
        <v>29810</v>
      </c>
      <c r="N33" s="98">
        <v>0</v>
      </c>
      <c r="O33" s="99">
        <v>58484</v>
      </c>
      <c r="P33" s="100">
        <f>O33+0</f>
        <v>58484</v>
      </c>
      <c r="Q33" s="101">
        <v>0</v>
      </c>
      <c r="R33" s="103"/>
    </row>
    <row r="34" spans="1:18" s="102" customFormat="1" ht="43.5" customHeight="1">
      <c r="A34" s="96" t="s">
        <v>40</v>
      </c>
      <c r="B34" s="97" t="s">
        <v>291</v>
      </c>
      <c r="C34" s="98">
        <f t="shared" si="15"/>
        <v>88793</v>
      </c>
      <c r="D34" s="98">
        <f t="shared" si="10"/>
        <v>88793</v>
      </c>
      <c r="E34" s="98">
        <f t="shared" si="11"/>
        <v>79326.99</v>
      </c>
      <c r="F34" s="99">
        <v>88793</v>
      </c>
      <c r="G34" s="100">
        <f t="shared" si="13"/>
        <v>88793</v>
      </c>
      <c r="H34" s="98">
        <v>46325.69</v>
      </c>
      <c r="I34" s="99">
        <v>0</v>
      </c>
      <c r="J34" s="100">
        <f>I34+0</f>
        <v>0</v>
      </c>
      <c r="K34" s="98">
        <v>0</v>
      </c>
      <c r="L34" s="99">
        <v>0</v>
      </c>
      <c r="M34" s="100">
        <f t="shared" si="14"/>
        <v>0</v>
      </c>
      <c r="N34" s="98">
        <v>24607.06</v>
      </c>
      <c r="O34" s="99">
        <v>0</v>
      </c>
      <c r="P34" s="100">
        <f>O34+0</f>
        <v>0</v>
      </c>
      <c r="Q34" s="101">
        <v>8394.24</v>
      </c>
      <c r="R34" s="103"/>
    </row>
    <row r="35" spans="1:18" ht="44.25" customHeight="1">
      <c r="A35" s="19" t="s">
        <v>41</v>
      </c>
      <c r="B35" s="92" t="s">
        <v>292</v>
      </c>
      <c r="C35" s="1">
        <f t="shared" si="15"/>
        <v>721768</v>
      </c>
      <c r="D35" s="1">
        <f t="shared" si="10"/>
        <v>721768</v>
      </c>
      <c r="E35" s="1">
        <f t="shared" si="11"/>
        <v>406840</v>
      </c>
      <c r="F35" s="23">
        <v>180442</v>
      </c>
      <c r="G35" s="24">
        <f t="shared" si="13"/>
        <v>180442</v>
      </c>
      <c r="H35" s="1">
        <v>0</v>
      </c>
      <c r="I35" s="23">
        <v>180442</v>
      </c>
      <c r="J35" s="24">
        <f>I35+0</f>
        <v>180442</v>
      </c>
      <c r="K35" s="1">
        <v>0</v>
      </c>
      <c r="L35" s="23">
        <v>180442</v>
      </c>
      <c r="M35" s="24">
        <f t="shared" si="14"/>
        <v>180442</v>
      </c>
      <c r="N35" s="1">
        <v>406840</v>
      </c>
      <c r="O35" s="23">
        <v>180442</v>
      </c>
      <c r="P35" s="24">
        <f>O35+0</f>
        <v>180442</v>
      </c>
      <c r="Q35" s="25"/>
      <c r="R35" s="94"/>
    </row>
    <row r="36" spans="1:18" s="102" customFormat="1" ht="44.25" customHeight="1">
      <c r="A36" s="96" t="s">
        <v>42</v>
      </c>
      <c r="B36" s="97" t="s">
        <v>293</v>
      </c>
      <c r="C36" s="98">
        <f t="shared" si="15"/>
        <v>2083768</v>
      </c>
      <c r="D36" s="98">
        <f t="shared" si="10"/>
        <v>2083768</v>
      </c>
      <c r="E36" s="98">
        <f t="shared" si="11"/>
        <v>0</v>
      </c>
      <c r="F36" s="99">
        <v>200433</v>
      </c>
      <c r="G36" s="100">
        <f t="shared" si="13"/>
        <v>200433</v>
      </c>
      <c r="H36" s="98">
        <v>0</v>
      </c>
      <c r="I36" s="99">
        <v>430942</v>
      </c>
      <c r="J36" s="100">
        <f>I36+0</f>
        <v>430942</v>
      </c>
      <c r="K36" s="98">
        <v>0</v>
      </c>
      <c r="L36" s="99">
        <v>759319</v>
      </c>
      <c r="M36" s="100">
        <f t="shared" si="14"/>
        <v>759319</v>
      </c>
      <c r="N36" s="98">
        <v>0</v>
      </c>
      <c r="O36" s="99">
        <v>693074</v>
      </c>
      <c r="P36" s="100">
        <f>O36+0</f>
        <v>693074</v>
      </c>
      <c r="Q36" s="101">
        <v>0</v>
      </c>
      <c r="R36" s="103"/>
    </row>
    <row r="37" spans="1:17" s="102" customFormat="1" ht="34.5">
      <c r="A37" s="96" t="s">
        <v>43</v>
      </c>
      <c r="B37" s="97" t="s">
        <v>294</v>
      </c>
      <c r="C37" s="98">
        <f t="shared" si="8"/>
        <v>157647</v>
      </c>
      <c r="D37" s="98">
        <f t="shared" si="10"/>
        <v>157647</v>
      </c>
      <c r="E37" s="98">
        <f t="shared" si="11"/>
        <v>0</v>
      </c>
      <c r="F37" s="99">
        <v>43201</v>
      </c>
      <c r="G37" s="100">
        <f t="shared" si="4"/>
        <v>43201</v>
      </c>
      <c r="H37" s="98">
        <v>0</v>
      </c>
      <c r="I37" s="99">
        <v>56441</v>
      </c>
      <c r="J37" s="100">
        <f t="shared" si="5"/>
        <v>56441</v>
      </c>
      <c r="K37" s="98">
        <v>0</v>
      </c>
      <c r="L37" s="99">
        <v>29005</v>
      </c>
      <c r="M37" s="100">
        <f t="shared" si="6"/>
        <v>29005</v>
      </c>
      <c r="N37" s="98">
        <v>0</v>
      </c>
      <c r="O37" s="99">
        <v>29000</v>
      </c>
      <c r="P37" s="100">
        <f t="shared" si="12"/>
        <v>29000</v>
      </c>
      <c r="Q37" s="101">
        <v>0</v>
      </c>
    </row>
    <row r="38" spans="1:17" s="102" customFormat="1" ht="56.25" customHeight="1">
      <c r="A38" s="96" t="s">
        <v>44</v>
      </c>
      <c r="B38" s="97" t="s">
        <v>295</v>
      </c>
      <c r="C38" s="98">
        <f t="shared" si="8"/>
        <v>905084</v>
      </c>
      <c r="D38" s="98">
        <f t="shared" si="10"/>
        <v>905084</v>
      </c>
      <c r="E38" s="98">
        <f t="shared" si="11"/>
        <v>0</v>
      </c>
      <c r="F38" s="99">
        <v>226271</v>
      </c>
      <c r="G38" s="100">
        <f t="shared" si="4"/>
        <v>226271</v>
      </c>
      <c r="H38" s="98">
        <v>0</v>
      </c>
      <c r="I38" s="99">
        <v>226271</v>
      </c>
      <c r="J38" s="100">
        <f t="shared" si="5"/>
        <v>226271</v>
      </c>
      <c r="K38" s="98">
        <v>0</v>
      </c>
      <c r="L38" s="99">
        <v>226271</v>
      </c>
      <c r="M38" s="100">
        <f t="shared" si="6"/>
        <v>226271</v>
      </c>
      <c r="N38" s="98">
        <v>0</v>
      </c>
      <c r="O38" s="99">
        <v>226271</v>
      </c>
      <c r="P38" s="100">
        <f t="shared" si="12"/>
        <v>226271</v>
      </c>
      <c r="Q38" s="101">
        <v>0</v>
      </c>
    </row>
    <row r="39" spans="1:17" s="102" customFormat="1" ht="42" customHeight="1">
      <c r="A39" s="96" t="s">
        <v>309</v>
      </c>
      <c r="B39" s="97" t="s">
        <v>46</v>
      </c>
      <c r="C39" s="98">
        <f t="shared" si="8"/>
        <v>169742</v>
      </c>
      <c r="D39" s="98">
        <f t="shared" si="10"/>
        <v>169742</v>
      </c>
      <c r="E39" s="98">
        <f t="shared" si="11"/>
        <v>94170.35</v>
      </c>
      <c r="F39" s="99">
        <v>65036</v>
      </c>
      <c r="G39" s="100">
        <f t="shared" si="4"/>
        <v>65036</v>
      </c>
      <c r="H39" s="98">
        <v>0</v>
      </c>
      <c r="I39" s="99">
        <v>59552</v>
      </c>
      <c r="J39" s="100">
        <f t="shared" si="5"/>
        <v>59552</v>
      </c>
      <c r="K39" s="98">
        <v>12256.68</v>
      </c>
      <c r="L39" s="99">
        <v>22577</v>
      </c>
      <c r="M39" s="100">
        <f t="shared" si="6"/>
        <v>22577</v>
      </c>
      <c r="N39" s="98">
        <v>28415.95</v>
      </c>
      <c r="O39" s="99">
        <v>22577</v>
      </c>
      <c r="P39" s="100">
        <f t="shared" si="12"/>
        <v>22577</v>
      </c>
      <c r="Q39" s="101">
        <v>53497.72</v>
      </c>
    </row>
    <row r="40" spans="1:17" s="102" customFormat="1" ht="46.5" customHeight="1">
      <c r="A40" s="96" t="s">
        <v>45</v>
      </c>
      <c r="B40" s="97" t="s">
        <v>440</v>
      </c>
      <c r="C40" s="98">
        <f t="shared" si="8"/>
        <v>0</v>
      </c>
      <c r="D40" s="98">
        <f>G40+J40+M40+P40</f>
        <v>106368.6</v>
      </c>
      <c r="E40" s="98">
        <f t="shared" si="11"/>
        <v>46479.15999999999</v>
      </c>
      <c r="F40" s="99">
        <v>0</v>
      </c>
      <c r="G40" s="99">
        <v>106368.6</v>
      </c>
      <c r="H40" s="98">
        <v>18714.37</v>
      </c>
      <c r="I40" s="99">
        <v>0</v>
      </c>
      <c r="J40" s="100">
        <f t="shared" si="5"/>
        <v>0</v>
      </c>
      <c r="K40" s="98">
        <v>34432.84</v>
      </c>
      <c r="L40" s="99">
        <v>0</v>
      </c>
      <c r="M40" s="100">
        <f t="shared" si="6"/>
        <v>0</v>
      </c>
      <c r="N40" s="98">
        <v>1239.74</v>
      </c>
      <c r="O40" s="99">
        <v>0</v>
      </c>
      <c r="P40" s="100">
        <f t="shared" si="12"/>
        <v>0</v>
      </c>
      <c r="Q40" s="101">
        <v>-7907.79</v>
      </c>
    </row>
    <row r="41" spans="1:17" s="102" customFormat="1" ht="45.75" customHeight="1">
      <c r="A41" s="96">
        <v>30</v>
      </c>
      <c r="B41" s="106" t="s">
        <v>330</v>
      </c>
      <c r="C41" s="98">
        <f t="shared" si="8"/>
        <v>0</v>
      </c>
      <c r="D41" s="98">
        <f t="shared" si="10"/>
        <v>210735.2</v>
      </c>
      <c r="E41" s="98">
        <f t="shared" si="11"/>
        <v>180439.14</v>
      </c>
      <c r="F41" s="99">
        <v>0</v>
      </c>
      <c r="G41" s="99">
        <v>198577.4</v>
      </c>
      <c r="H41" s="98">
        <v>0</v>
      </c>
      <c r="I41" s="99">
        <v>0</v>
      </c>
      <c r="J41" s="99">
        <f>210735.2-198577.4</f>
        <v>12157.800000000017</v>
      </c>
      <c r="K41" s="99">
        <v>163753.1</v>
      </c>
      <c r="L41" s="100">
        <v>0</v>
      </c>
      <c r="M41" s="100">
        <v>0</v>
      </c>
      <c r="N41" s="98">
        <v>16686.04</v>
      </c>
      <c r="O41" s="100">
        <v>0</v>
      </c>
      <c r="P41" s="100">
        <v>0</v>
      </c>
      <c r="Q41" s="107">
        <v>0</v>
      </c>
    </row>
    <row r="42" spans="1:17" ht="42.75" customHeight="1">
      <c r="A42" s="19" t="s">
        <v>321</v>
      </c>
      <c r="B42" s="28" t="s">
        <v>329</v>
      </c>
      <c r="C42" s="1">
        <f t="shared" si="8"/>
        <v>0</v>
      </c>
      <c r="D42" s="1">
        <f t="shared" si="10"/>
        <v>74568</v>
      </c>
      <c r="E42" s="1">
        <f t="shared" si="11"/>
        <v>75314.03</v>
      </c>
      <c r="F42" s="23">
        <v>0</v>
      </c>
      <c r="G42" s="26">
        <f>F42+0</f>
        <v>0</v>
      </c>
      <c r="H42" s="1">
        <v>0</v>
      </c>
      <c r="I42" s="23">
        <v>0</v>
      </c>
      <c r="J42" s="23">
        <v>33950</v>
      </c>
      <c r="K42" s="1">
        <v>20679.5</v>
      </c>
      <c r="L42" s="23">
        <v>0</v>
      </c>
      <c r="M42" s="23">
        <f>51950-33950</f>
        <v>18000</v>
      </c>
      <c r="N42" s="1">
        <v>54634.53</v>
      </c>
      <c r="O42" s="23">
        <v>0</v>
      </c>
      <c r="P42" s="23">
        <f>74568-51950</f>
        <v>22618</v>
      </c>
      <c r="Q42" s="25"/>
    </row>
    <row r="43" spans="1:17" ht="48.75" customHeight="1">
      <c r="A43" s="19" t="s">
        <v>322</v>
      </c>
      <c r="B43" s="28" t="s">
        <v>328</v>
      </c>
      <c r="C43" s="1">
        <f t="shared" si="8"/>
        <v>0</v>
      </c>
      <c r="D43" s="1">
        <f t="shared" si="10"/>
        <v>754600.5</v>
      </c>
      <c r="E43" s="1">
        <f t="shared" si="11"/>
        <v>0</v>
      </c>
      <c r="F43" s="23">
        <v>0</v>
      </c>
      <c r="G43" s="26">
        <v>459019.6</v>
      </c>
      <c r="H43" s="1">
        <v>0</v>
      </c>
      <c r="I43" s="23">
        <v>0</v>
      </c>
      <c r="J43" s="23">
        <f>754600.5-G43</f>
        <v>295580.9</v>
      </c>
      <c r="K43" s="1">
        <v>0</v>
      </c>
      <c r="L43" s="23">
        <v>0</v>
      </c>
      <c r="M43" s="23">
        <f>754600.5-G43-J43</f>
        <v>0</v>
      </c>
      <c r="N43" s="1">
        <v>0</v>
      </c>
      <c r="O43" s="23">
        <v>0</v>
      </c>
      <c r="P43" s="23">
        <f>754600.5-G43-J43</f>
        <v>0</v>
      </c>
      <c r="Q43" s="25"/>
    </row>
    <row r="44" spans="1:17" s="102" customFormat="1" ht="42" customHeight="1">
      <c r="A44" s="96" t="s">
        <v>323</v>
      </c>
      <c r="B44" s="97" t="s">
        <v>402</v>
      </c>
      <c r="C44" s="98">
        <f t="shared" si="8"/>
        <v>0</v>
      </c>
      <c r="D44" s="98">
        <f t="shared" si="10"/>
        <v>13766.4</v>
      </c>
      <c r="E44" s="98">
        <f t="shared" si="11"/>
        <v>0</v>
      </c>
      <c r="F44" s="99">
        <v>0</v>
      </c>
      <c r="G44" s="99">
        <v>10005</v>
      </c>
      <c r="H44" s="98">
        <v>0</v>
      </c>
      <c r="I44" s="99">
        <v>0</v>
      </c>
      <c r="J44" s="99">
        <f>10005-G44</f>
        <v>0</v>
      </c>
      <c r="K44" s="98"/>
      <c r="L44" s="99">
        <v>0</v>
      </c>
      <c r="M44" s="99">
        <f>13766.4-G44-J44</f>
        <v>3761.3999999999996</v>
      </c>
      <c r="N44" s="98">
        <v>0</v>
      </c>
      <c r="O44" s="99">
        <v>0</v>
      </c>
      <c r="P44" s="99">
        <f>13766.4-G44-J44-M44</f>
        <v>0</v>
      </c>
      <c r="Q44" s="101">
        <v>0</v>
      </c>
    </row>
    <row r="45" spans="1:17" ht="35.25" customHeight="1">
      <c r="A45" s="19" t="s">
        <v>331</v>
      </c>
      <c r="B45" s="95" t="s">
        <v>404</v>
      </c>
      <c r="C45" s="1">
        <f t="shared" si="8"/>
        <v>0</v>
      </c>
      <c r="D45" s="1">
        <f t="shared" si="10"/>
        <v>150000</v>
      </c>
      <c r="E45" s="1">
        <f t="shared" si="11"/>
        <v>10295.54</v>
      </c>
      <c r="F45" s="23">
        <v>0</v>
      </c>
      <c r="G45" s="23">
        <v>60000</v>
      </c>
      <c r="H45" s="1">
        <v>0</v>
      </c>
      <c r="I45" s="23">
        <v>0</v>
      </c>
      <c r="J45" s="23">
        <f>120000-60000</f>
        <v>60000</v>
      </c>
      <c r="K45" s="1">
        <v>5188.16</v>
      </c>
      <c r="L45" s="23">
        <v>0</v>
      </c>
      <c r="M45" s="23">
        <f>150000-120000</f>
        <v>30000</v>
      </c>
      <c r="N45" s="1">
        <v>5107.38</v>
      </c>
      <c r="O45" s="23">
        <f>150000-150000</f>
        <v>0</v>
      </c>
      <c r="P45" s="24">
        <f>O45+0</f>
        <v>0</v>
      </c>
      <c r="Q45" s="25"/>
    </row>
    <row r="46" spans="1:17" s="102" customFormat="1" ht="40.5" customHeight="1">
      <c r="A46" s="96" t="s">
        <v>358</v>
      </c>
      <c r="B46" s="104" t="s">
        <v>359</v>
      </c>
      <c r="C46" s="98">
        <f t="shared" si="8"/>
        <v>0</v>
      </c>
      <c r="D46" s="98">
        <f t="shared" si="10"/>
        <v>168801.4</v>
      </c>
      <c r="E46" s="98">
        <f t="shared" si="11"/>
        <v>204961.43</v>
      </c>
      <c r="F46" s="99">
        <v>0</v>
      </c>
      <c r="G46" s="99">
        <v>0</v>
      </c>
      <c r="H46" s="98">
        <v>0</v>
      </c>
      <c r="I46" s="99">
        <v>0</v>
      </c>
      <c r="J46" s="99">
        <v>168801.4</v>
      </c>
      <c r="K46" s="98">
        <v>34644.78</v>
      </c>
      <c r="L46" s="99">
        <v>0</v>
      </c>
      <c r="M46" s="99">
        <v>0</v>
      </c>
      <c r="N46" s="98">
        <v>170316.65</v>
      </c>
      <c r="O46" s="99">
        <v>0</v>
      </c>
      <c r="P46" s="100">
        <v>0</v>
      </c>
      <c r="Q46" s="101">
        <v>0</v>
      </c>
    </row>
    <row r="47" spans="1:17" ht="35.25" customHeight="1">
      <c r="A47" s="19" t="s">
        <v>375</v>
      </c>
      <c r="B47" s="28" t="s">
        <v>376</v>
      </c>
      <c r="C47" s="1">
        <f t="shared" si="8"/>
        <v>0</v>
      </c>
      <c r="D47" s="1">
        <f>G47+J47+M47+P47</f>
        <v>31276.5</v>
      </c>
      <c r="E47" s="1">
        <f t="shared" si="11"/>
        <v>0</v>
      </c>
      <c r="F47" s="23">
        <v>0</v>
      </c>
      <c r="G47" s="23">
        <v>0</v>
      </c>
      <c r="H47" s="1">
        <v>0</v>
      </c>
      <c r="I47" s="23">
        <v>0</v>
      </c>
      <c r="J47" s="23">
        <v>0</v>
      </c>
      <c r="K47" s="1">
        <v>0</v>
      </c>
      <c r="L47" s="23">
        <v>0</v>
      </c>
      <c r="M47" s="23">
        <v>15062.7</v>
      </c>
      <c r="N47" s="1"/>
      <c r="O47" s="23">
        <v>0</v>
      </c>
      <c r="P47" s="26">
        <f>31276.5-M47</f>
        <v>16213.8</v>
      </c>
      <c r="Q47" s="25"/>
    </row>
    <row r="48" spans="1:17" ht="21.75" customHeight="1">
      <c r="A48" s="29"/>
      <c r="B48" s="30" t="s">
        <v>296</v>
      </c>
      <c r="C48" s="31"/>
      <c r="D48" s="31"/>
      <c r="E48" s="30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4"/>
      <c r="Q48" s="35"/>
    </row>
    <row r="49" spans="1:17" ht="21" thickBot="1">
      <c r="A49" s="36"/>
      <c r="B49" s="37" t="s">
        <v>297</v>
      </c>
      <c r="C49" s="38"/>
      <c r="D49" s="38"/>
      <c r="E49" s="37"/>
      <c r="F49" s="39"/>
      <c r="G49" s="39"/>
      <c r="H49" s="39"/>
      <c r="I49" s="39"/>
      <c r="J49" s="40"/>
      <c r="K49" s="40"/>
      <c r="L49" s="40"/>
      <c r="M49" s="40"/>
      <c r="N49" s="40"/>
      <c r="O49" s="40"/>
      <c r="P49" s="41"/>
      <c r="Q49" s="42"/>
    </row>
    <row r="51" ht="18.75">
      <c r="B51" s="43" t="s">
        <v>439</v>
      </c>
    </row>
    <row r="52" ht="18.75">
      <c r="B52" s="43" t="s">
        <v>326</v>
      </c>
    </row>
    <row r="53" spans="2:4" ht="18.75">
      <c r="B53" s="43" t="s">
        <v>324</v>
      </c>
      <c r="C53" s="44"/>
      <c r="D53" s="44"/>
    </row>
    <row r="54" spans="2:4" ht="18.75">
      <c r="B54" s="43" t="s">
        <v>325</v>
      </c>
      <c r="C54" s="44"/>
      <c r="D54" s="44"/>
    </row>
    <row r="55" spans="2:4" ht="18.75">
      <c r="B55" s="43" t="s">
        <v>327</v>
      </c>
      <c r="C55" s="44"/>
      <c r="D55" s="44"/>
    </row>
    <row r="56" spans="2:4" ht="18.75">
      <c r="B56" s="43" t="s">
        <v>332</v>
      </c>
      <c r="C56" s="44"/>
      <c r="D56" s="44"/>
    </row>
    <row r="57" ht="18.75">
      <c r="B57" s="43" t="s">
        <v>360</v>
      </c>
    </row>
    <row r="58" ht="18.75">
      <c r="B58" s="43" t="s">
        <v>374</v>
      </c>
    </row>
    <row r="60" spans="3:4" ht="18.75">
      <c r="C60" s="44"/>
      <c r="D60" s="44"/>
    </row>
    <row r="61" spans="3:4" ht="18.75">
      <c r="C61" s="44"/>
      <c r="D61" s="44"/>
    </row>
    <row r="62" spans="3:4" ht="18.75">
      <c r="C62" s="44"/>
      <c r="D62" s="44"/>
    </row>
    <row r="63" spans="3:4" ht="18.75">
      <c r="C63" s="44"/>
      <c r="D63" s="44"/>
    </row>
    <row r="64" spans="3:4" ht="18.75">
      <c r="C64" s="44"/>
      <c r="D64" s="44"/>
    </row>
    <row r="65" spans="3:4" ht="18.75">
      <c r="C65" s="44"/>
      <c r="D65" s="44"/>
    </row>
    <row r="66" spans="3:4" ht="18.75">
      <c r="C66" s="44"/>
      <c r="D66" s="44"/>
    </row>
    <row r="73" ht="18.75">
      <c r="E73" s="44"/>
    </row>
  </sheetData>
  <sheetProtection/>
  <mergeCells count="11">
    <mergeCell ref="L4:N4"/>
    <mergeCell ref="O4:Q4"/>
    <mergeCell ref="A6:B6"/>
    <mergeCell ref="A7:B7"/>
    <mergeCell ref="A11:B11"/>
    <mergeCell ref="B1:O1"/>
    <mergeCell ref="B2:O2"/>
    <mergeCell ref="A4:B5"/>
    <mergeCell ref="C4:E4"/>
    <mergeCell ref="F4:H4"/>
    <mergeCell ref="I4:K4"/>
  </mergeCells>
  <printOptions/>
  <pageMargins left="0.75" right="0.16" top="0.29" bottom="0.24" header="0.5" footer="0.5"/>
  <pageSetup horizontalDpi="600" verticalDpi="600" orientation="landscape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5"/>
  <sheetViews>
    <sheetView zoomScale="90" zoomScaleNormal="90" zoomScalePageLayoutView="0" workbookViewId="0" topLeftCell="A1">
      <selection activeCell="H8" sqref="H8:K8"/>
    </sheetView>
  </sheetViews>
  <sheetFormatPr defaultColWidth="16.8515625" defaultRowHeight="12.75"/>
  <cols>
    <col min="1" max="1" width="5.7109375" style="49" bestFit="1" customWidth="1"/>
    <col min="2" max="2" width="16.28125" style="49" bestFit="1" customWidth="1"/>
    <col min="3" max="4" width="16.8515625" style="49" customWidth="1"/>
    <col min="5" max="5" width="31.00390625" style="49" customWidth="1"/>
    <col min="6" max="7" width="16.8515625" style="49" customWidth="1"/>
    <col min="8" max="8" width="18.7109375" style="49" customWidth="1"/>
    <col min="9" max="9" width="16.8515625" style="49" customWidth="1"/>
    <col min="10" max="10" width="20.7109375" style="49" customWidth="1"/>
    <col min="11" max="11" width="16.8515625" style="49" customWidth="1"/>
    <col min="12" max="12" width="19.57421875" style="52" customWidth="1"/>
    <col min="13" max="15" width="16.8515625" style="49" customWidth="1"/>
    <col min="16" max="16" width="23.00390625" style="49" customWidth="1"/>
    <col min="17" max="17" width="18.57421875" style="49" customWidth="1"/>
    <col min="18" max="22" width="16.8515625" style="49" customWidth="1"/>
    <col min="23" max="23" width="20.8515625" style="49" customWidth="1"/>
    <col min="24" max="25" width="16.8515625" style="49" customWidth="1"/>
    <col min="26" max="16384" width="16.8515625" style="49" customWidth="1"/>
  </cols>
  <sheetData>
    <row r="1" spans="1:19" ht="9.75" customHeight="1">
      <c r="A1" s="133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51"/>
      <c r="R1" s="51"/>
      <c r="S1" s="51"/>
    </row>
    <row r="2" spans="1:19" ht="12.75" customHeight="1">
      <c r="A2" s="133" t="s">
        <v>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51"/>
      <c r="R2" s="51"/>
      <c r="S2" s="51"/>
    </row>
    <row r="3" spans="1:19" ht="11.25" customHeight="1">
      <c r="A3" s="133" t="s">
        <v>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51"/>
      <c r="R3" s="51"/>
      <c r="S3" s="51"/>
    </row>
    <row r="4" spans="1:19" ht="11.25" customHeight="1">
      <c r="A4" s="134" t="s">
        <v>50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51"/>
      <c r="R4" s="51"/>
      <c r="S4" s="51"/>
    </row>
    <row r="5" spans="1:19" ht="13.5" customHeight="1">
      <c r="A5" s="134" t="s">
        <v>51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51"/>
      <c r="R5" s="51"/>
      <c r="S5" s="51"/>
    </row>
    <row r="6" spans="1:19" ht="12.75" customHeight="1">
      <c r="A6" s="134" t="s">
        <v>446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51"/>
      <c r="R6" s="51"/>
      <c r="S6" s="51"/>
    </row>
    <row r="7" ht="15" customHeight="1">
      <c r="O7" s="49" t="s">
        <v>0</v>
      </c>
    </row>
    <row r="8" spans="1:25" ht="45" customHeight="1">
      <c r="A8" s="132" t="s">
        <v>52</v>
      </c>
      <c r="B8" s="135" t="s">
        <v>53</v>
      </c>
      <c r="C8" s="135"/>
      <c r="D8" s="138" t="s">
        <v>54</v>
      </c>
      <c r="E8" s="135" t="s">
        <v>55</v>
      </c>
      <c r="F8" s="135"/>
      <c r="G8" s="135"/>
      <c r="H8" s="135" t="s">
        <v>56</v>
      </c>
      <c r="I8" s="136"/>
      <c r="J8" s="136"/>
      <c r="K8" s="136"/>
      <c r="L8" s="135" t="s">
        <v>57</v>
      </c>
      <c r="M8" s="136"/>
      <c r="N8" s="136"/>
      <c r="O8" s="136"/>
      <c r="P8" s="137" t="s">
        <v>58</v>
      </c>
      <c r="Q8" s="132" t="s">
        <v>59</v>
      </c>
      <c r="R8" s="132" t="s">
        <v>60</v>
      </c>
      <c r="S8" s="132" t="s">
        <v>61</v>
      </c>
      <c r="T8" s="132" t="s">
        <v>62</v>
      </c>
      <c r="U8" s="132" t="s">
        <v>63</v>
      </c>
      <c r="V8" s="132" t="s">
        <v>64</v>
      </c>
      <c r="W8" s="132" t="s">
        <v>65</v>
      </c>
      <c r="X8" s="132" t="s">
        <v>66</v>
      </c>
      <c r="Y8" s="132" t="s">
        <v>67</v>
      </c>
    </row>
    <row r="9" spans="1:25" ht="11.25" customHeight="1">
      <c r="A9" s="132"/>
      <c r="B9" s="135" t="s">
        <v>68</v>
      </c>
      <c r="C9" s="139" t="s">
        <v>69</v>
      </c>
      <c r="D9" s="138"/>
      <c r="E9" s="135" t="s">
        <v>70</v>
      </c>
      <c r="F9" s="135" t="s">
        <v>71</v>
      </c>
      <c r="G9" s="135" t="s">
        <v>72</v>
      </c>
      <c r="H9" s="135" t="s">
        <v>73</v>
      </c>
      <c r="I9" s="136"/>
      <c r="J9" s="135" t="s">
        <v>74</v>
      </c>
      <c r="K9" s="135"/>
      <c r="L9" s="135" t="s">
        <v>73</v>
      </c>
      <c r="M9" s="136"/>
      <c r="N9" s="135" t="s">
        <v>74</v>
      </c>
      <c r="O9" s="135"/>
      <c r="P9" s="137"/>
      <c r="Q9" s="132"/>
      <c r="R9" s="132"/>
      <c r="S9" s="132"/>
      <c r="T9" s="132"/>
      <c r="U9" s="132"/>
      <c r="V9" s="132"/>
      <c r="W9" s="132"/>
      <c r="X9" s="132"/>
      <c r="Y9" s="132"/>
    </row>
    <row r="10" spans="1:25" ht="12.75" customHeight="1">
      <c r="A10" s="132"/>
      <c r="B10" s="135"/>
      <c r="C10" s="139"/>
      <c r="D10" s="138"/>
      <c r="E10" s="135"/>
      <c r="F10" s="135"/>
      <c r="G10" s="135"/>
      <c r="H10" s="136"/>
      <c r="I10" s="136"/>
      <c r="J10" s="135"/>
      <c r="K10" s="135"/>
      <c r="L10" s="136"/>
      <c r="M10" s="136"/>
      <c r="N10" s="135"/>
      <c r="O10" s="135"/>
      <c r="P10" s="137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1:25" ht="87.75" customHeight="1">
      <c r="A11" s="132"/>
      <c r="B11" s="135"/>
      <c r="C11" s="139"/>
      <c r="D11" s="138"/>
      <c r="E11" s="135"/>
      <c r="F11" s="135"/>
      <c r="G11" s="135"/>
      <c r="H11" s="53" t="s">
        <v>75</v>
      </c>
      <c r="I11" s="108" t="s">
        <v>76</v>
      </c>
      <c r="J11" s="53" t="s">
        <v>75</v>
      </c>
      <c r="K11" s="108" t="s">
        <v>76</v>
      </c>
      <c r="L11" s="53" t="s">
        <v>75</v>
      </c>
      <c r="M11" s="108" t="s">
        <v>76</v>
      </c>
      <c r="N11" s="53" t="s">
        <v>75</v>
      </c>
      <c r="O11" s="108" t="s">
        <v>76</v>
      </c>
      <c r="P11" s="137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1:25" ht="14.25" customHeight="1">
      <c r="A12" s="113">
        <v>1</v>
      </c>
      <c r="B12" s="113">
        <v>2</v>
      </c>
      <c r="C12" s="54" t="s">
        <v>1</v>
      </c>
      <c r="D12" s="54">
        <v>4</v>
      </c>
      <c r="E12" s="54" t="s">
        <v>2</v>
      </c>
      <c r="F12" s="54" t="s">
        <v>3</v>
      </c>
      <c r="G12" s="54" t="s">
        <v>4</v>
      </c>
      <c r="H12" s="54" t="s">
        <v>5</v>
      </c>
      <c r="I12" s="54" t="s">
        <v>6</v>
      </c>
      <c r="J12" s="54" t="s">
        <v>7</v>
      </c>
      <c r="K12" s="54" t="s">
        <v>8</v>
      </c>
      <c r="L12" s="54" t="s">
        <v>9</v>
      </c>
      <c r="M12" s="54" t="s">
        <v>10</v>
      </c>
      <c r="N12" s="54" t="s">
        <v>11</v>
      </c>
      <c r="O12" s="54" t="s">
        <v>12</v>
      </c>
      <c r="P12" s="54" t="s">
        <v>13</v>
      </c>
      <c r="Q12" s="54" t="s">
        <v>33</v>
      </c>
      <c r="R12" s="54" t="s">
        <v>34</v>
      </c>
      <c r="S12" s="54" t="s">
        <v>35</v>
      </c>
      <c r="T12" s="54" t="s">
        <v>36</v>
      </c>
      <c r="U12" s="54" t="s">
        <v>37</v>
      </c>
      <c r="V12" s="54" t="s">
        <v>38</v>
      </c>
      <c r="W12" s="54" t="s">
        <v>40</v>
      </c>
      <c r="X12" s="54" t="s">
        <v>41</v>
      </c>
      <c r="Y12" s="54" t="s">
        <v>42</v>
      </c>
    </row>
    <row r="13" spans="1:25" s="47" customFormat="1" ht="129" customHeight="1">
      <c r="A13" s="110">
        <v>1</v>
      </c>
      <c r="B13" s="110"/>
      <c r="C13" s="110" t="s">
        <v>422</v>
      </c>
      <c r="D13" s="110" t="s">
        <v>154</v>
      </c>
      <c r="E13" s="110" t="s">
        <v>155</v>
      </c>
      <c r="F13" s="110" t="s">
        <v>77</v>
      </c>
      <c r="G13" s="110" t="s">
        <v>114</v>
      </c>
      <c r="H13" s="58">
        <v>2364291.8</v>
      </c>
      <c r="I13" s="110" t="s">
        <v>156</v>
      </c>
      <c r="J13" s="58">
        <v>488945</v>
      </c>
      <c r="K13" s="110" t="s">
        <v>156</v>
      </c>
      <c r="L13" s="45">
        <v>0</v>
      </c>
      <c r="M13" s="110" t="s">
        <v>156</v>
      </c>
      <c r="N13" s="45">
        <v>0</v>
      </c>
      <c r="O13" s="110" t="s">
        <v>156</v>
      </c>
      <c r="P13" s="46"/>
      <c r="Q13" s="110" t="s">
        <v>157</v>
      </c>
      <c r="R13" s="110" t="s">
        <v>158</v>
      </c>
      <c r="S13" s="110">
        <v>10061</v>
      </c>
      <c r="T13" s="110" t="s">
        <v>159</v>
      </c>
      <c r="U13" s="110">
        <v>105013</v>
      </c>
      <c r="V13" s="110" t="s">
        <v>160</v>
      </c>
      <c r="W13" s="110">
        <v>90000025025</v>
      </c>
      <c r="X13" s="110" t="s">
        <v>161</v>
      </c>
      <c r="Y13" s="110" t="s">
        <v>95</v>
      </c>
    </row>
    <row r="14" spans="1:25" s="47" customFormat="1" ht="12">
      <c r="A14" s="125">
        <v>2</v>
      </c>
      <c r="B14" s="125"/>
      <c r="C14" s="125" t="s">
        <v>422</v>
      </c>
      <c r="D14" s="125" t="s">
        <v>154</v>
      </c>
      <c r="E14" s="125" t="s">
        <v>155</v>
      </c>
      <c r="F14" s="125" t="s">
        <v>77</v>
      </c>
      <c r="G14" s="125" t="s">
        <v>78</v>
      </c>
      <c r="H14" s="48">
        <f>H15+H16</f>
        <v>748883.2000000001</v>
      </c>
      <c r="I14" s="110"/>
      <c r="J14" s="48">
        <f>J15+J16</f>
        <v>185142</v>
      </c>
      <c r="K14" s="110"/>
      <c r="L14" s="45">
        <v>0</v>
      </c>
      <c r="M14" s="110"/>
      <c r="N14" s="45">
        <v>0</v>
      </c>
      <c r="O14" s="110"/>
      <c r="P14" s="46"/>
      <c r="Q14" s="125" t="s">
        <v>157</v>
      </c>
      <c r="R14" s="125" t="s">
        <v>158</v>
      </c>
      <c r="S14" s="125">
        <v>10061</v>
      </c>
      <c r="T14" s="125" t="s">
        <v>159</v>
      </c>
      <c r="U14" s="125">
        <v>105013</v>
      </c>
      <c r="V14" s="125" t="s">
        <v>160</v>
      </c>
      <c r="W14" s="125">
        <v>90000025041</v>
      </c>
      <c r="X14" s="125" t="s">
        <v>161</v>
      </c>
      <c r="Y14" s="125" t="s">
        <v>95</v>
      </c>
    </row>
    <row r="15" spans="1:25" s="47" customFormat="1" ht="36">
      <c r="A15" s="125"/>
      <c r="B15" s="125"/>
      <c r="C15" s="125"/>
      <c r="D15" s="125"/>
      <c r="E15" s="125"/>
      <c r="F15" s="125"/>
      <c r="G15" s="125"/>
      <c r="H15" s="58">
        <v>636250.3</v>
      </c>
      <c r="I15" s="110" t="s">
        <v>156</v>
      </c>
      <c r="J15" s="58">
        <v>185142</v>
      </c>
      <c r="K15" s="110" t="s">
        <v>156</v>
      </c>
      <c r="L15" s="45">
        <v>0</v>
      </c>
      <c r="M15" s="110" t="s">
        <v>156</v>
      </c>
      <c r="N15" s="45">
        <v>0</v>
      </c>
      <c r="O15" s="110" t="s">
        <v>156</v>
      </c>
      <c r="P15" s="46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1:25" s="47" customFormat="1" ht="45" customHeight="1">
      <c r="A16" s="125"/>
      <c r="B16" s="125"/>
      <c r="C16" s="125"/>
      <c r="D16" s="125"/>
      <c r="E16" s="125"/>
      <c r="F16" s="125"/>
      <c r="G16" s="125"/>
      <c r="H16" s="58">
        <v>112632.9</v>
      </c>
      <c r="I16" s="110" t="s">
        <v>162</v>
      </c>
      <c r="J16" s="58">
        <v>0</v>
      </c>
      <c r="K16" s="110" t="s">
        <v>162</v>
      </c>
      <c r="L16" s="45">
        <v>0</v>
      </c>
      <c r="M16" s="110" t="s">
        <v>162</v>
      </c>
      <c r="N16" s="45">
        <v>0</v>
      </c>
      <c r="O16" s="110" t="s">
        <v>162</v>
      </c>
      <c r="P16" s="46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1:25" s="65" customFormat="1" ht="48">
      <c r="A17" s="110">
        <v>3</v>
      </c>
      <c r="B17" s="110"/>
      <c r="C17" s="110" t="s">
        <v>91</v>
      </c>
      <c r="D17" s="110" t="s">
        <v>92</v>
      </c>
      <c r="E17" s="110" t="s">
        <v>93</v>
      </c>
      <c r="F17" s="110" t="s">
        <v>77</v>
      </c>
      <c r="G17" s="110" t="s">
        <v>88</v>
      </c>
      <c r="H17" s="58">
        <v>96675.7</v>
      </c>
      <c r="I17" s="110" t="s">
        <v>94</v>
      </c>
      <c r="J17" s="58">
        <v>23895</v>
      </c>
      <c r="K17" s="64" t="s">
        <v>87</v>
      </c>
      <c r="L17" s="58">
        <f>32562.85+30029.18+29349.72</f>
        <v>91941.75</v>
      </c>
      <c r="M17" s="64" t="s">
        <v>87</v>
      </c>
      <c r="N17" s="58">
        <v>0</v>
      </c>
      <c r="O17" s="64" t="s">
        <v>87</v>
      </c>
      <c r="P17" s="110"/>
      <c r="Q17" s="113" t="s">
        <v>80</v>
      </c>
      <c r="R17" s="113" t="s">
        <v>81</v>
      </c>
      <c r="S17" s="113"/>
      <c r="T17" s="113" t="s">
        <v>82</v>
      </c>
      <c r="U17" s="113">
        <v>104021</v>
      </c>
      <c r="V17" s="113" t="s">
        <v>83</v>
      </c>
      <c r="W17" s="114" t="s">
        <v>90</v>
      </c>
      <c r="X17" s="113" t="s">
        <v>84</v>
      </c>
      <c r="Y17" s="113" t="s">
        <v>85</v>
      </c>
    </row>
    <row r="18" spans="1:25" ht="72">
      <c r="A18" s="113">
        <v>4</v>
      </c>
      <c r="B18" s="110" t="s">
        <v>169</v>
      </c>
      <c r="C18" s="110" t="s">
        <v>170</v>
      </c>
      <c r="D18" s="110" t="s">
        <v>86</v>
      </c>
      <c r="E18" s="110" t="s">
        <v>171</v>
      </c>
      <c r="F18" s="110" t="s">
        <v>77</v>
      </c>
      <c r="G18" s="110" t="s">
        <v>78</v>
      </c>
      <c r="H18" s="58">
        <v>478000</v>
      </c>
      <c r="I18" s="110" t="s">
        <v>89</v>
      </c>
      <c r="J18" s="58">
        <v>18598</v>
      </c>
      <c r="K18" s="111" t="s">
        <v>87</v>
      </c>
      <c r="L18" s="58">
        <f>41359+85356.39</f>
        <v>126715.39</v>
      </c>
      <c r="M18" s="111" t="s">
        <v>87</v>
      </c>
      <c r="N18" s="58">
        <v>0</v>
      </c>
      <c r="O18" s="111" t="s">
        <v>87</v>
      </c>
      <c r="P18" s="113" t="s">
        <v>403</v>
      </c>
      <c r="Q18" s="113" t="s">
        <v>80</v>
      </c>
      <c r="R18" s="113" t="s">
        <v>81</v>
      </c>
      <c r="S18" s="113"/>
      <c r="T18" s="113" t="s">
        <v>82</v>
      </c>
      <c r="U18" s="113">
        <v>104021</v>
      </c>
      <c r="V18" s="113" t="s">
        <v>83</v>
      </c>
      <c r="W18" s="114" t="s">
        <v>90</v>
      </c>
      <c r="X18" s="113" t="s">
        <v>84</v>
      </c>
      <c r="Y18" s="113" t="s">
        <v>85</v>
      </c>
    </row>
    <row r="19" spans="1:25" ht="72">
      <c r="A19" s="113">
        <v>5</v>
      </c>
      <c r="B19" s="110" t="s">
        <v>172</v>
      </c>
      <c r="C19" s="110" t="s">
        <v>173</v>
      </c>
      <c r="D19" s="110" t="s">
        <v>86</v>
      </c>
      <c r="E19" s="110" t="s">
        <v>174</v>
      </c>
      <c r="F19" s="110" t="s">
        <v>77</v>
      </c>
      <c r="G19" s="110" t="s">
        <v>78</v>
      </c>
      <c r="H19" s="58">
        <v>317000</v>
      </c>
      <c r="I19" s="110" t="s">
        <v>89</v>
      </c>
      <c r="J19" s="58">
        <v>11933</v>
      </c>
      <c r="K19" s="111" t="s">
        <v>87</v>
      </c>
      <c r="L19" s="66">
        <v>0</v>
      </c>
      <c r="M19" s="111" t="s">
        <v>87</v>
      </c>
      <c r="N19" s="66">
        <v>0</v>
      </c>
      <c r="O19" s="111" t="s">
        <v>87</v>
      </c>
      <c r="P19" s="113"/>
      <c r="Q19" s="113" t="s">
        <v>80</v>
      </c>
      <c r="R19" s="113" t="s">
        <v>81</v>
      </c>
      <c r="S19" s="113"/>
      <c r="T19" s="113" t="s">
        <v>82</v>
      </c>
      <c r="U19" s="113">
        <v>104021</v>
      </c>
      <c r="V19" s="113" t="s">
        <v>83</v>
      </c>
      <c r="W19" s="114" t="s">
        <v>90</v>
      </c>
      <c r="X19" s="113" t="s">
        <v>84</v>
      </c>
      <c r="Y19" s="113" t="s">
        <v>85</v>
      </c>
    </row>
    <row r="20" spans="1:25" ht="72">
      <c r="A20" s="113">
        <v>6</v>
      </c>
      <c r="B20" s="110" t="s">
        <v>175</v>
      </c>
      <c r="C20" s="110" t="s">
        <v>173</v>
      </c>
      <c r="D20" s="110" t="s">
        <v>86</v>
      </c>
      <c r="E20" s="110" t="s">
        <v>176</v>
      </c>
      <c r="F20" s="110" t="s">
        <v>77</v>
      </c>
      <c r="G20" s="110" t="s">
        <v>78</v>
      </c>
      <c r="H20" s="58">
        <v>484000</v>
      </c>
      <c r="I20" s="110" t="s">
        <v>89</v>
      </c>
      <c r="J20" s="58">
        <v>18074</v>
      </c>
      <c r="K20" s="111" t="s">
        <v>87</v>
      </c>
      <c r="L20" s="58">
        <f>41061+19645.4+20158.44</f>
        <v>80864.84</v>
      </c>
      <c r="M20" s="111" t="s">
        <v>87</v>
      </c>
      <c r="N20" s="58">
        <v>0</v>
      </c>
      <c r="O20" s="111" t="s">
        <v>87</v>
      </c>
      <c r="P20" s="113" t="s">
        <v>403</v>
      </c>
      <c r="Q20" s="113" t="s">
        <v>80</v>
      </c>
      <c r="R20" s="113" t="s">
        <v>81</v>
      </c>
      <c r="S20" s="113"/>
      <c r="T20" s="113" t="s">
        <v>82</v>
      </c>
      <c r="U20" s="113">
        <v>104021</v>
      </c>
      <c r="V20" s="113" t="s">
        <v>83</v>
      </c>
      <c r="W20" s="114" t="s">
        <v>90</v>
      </c>
      <c r="X20" s="113" t="s">
        <v>84</v>
      </c>
      <c r="Y20" s="113" t="s">
        <v>85</v>
      </c>
    </row>
    <row r="21" spans="1:25" ht="90" customHeight="1">
      <c r="A21" s="113">
        <v>7</v>
      </c>
      <c r="B21" s="113" t="s">
        <v>177</v>
      </c>
      <c r="C21" s="113" t="s">
        <v>173</v>
      </c>
      <c r="D21" s="113" t="s">
        <v>86</v>
      </c>
      <c r="E21" s="113" t="s">
        <v>178</v>
      </c>
      <c r="F21" s="113" t="s">
        <v>77</v>
      </c>
      <c r="G21" s="113" t="s">
        <v>78</v>
      </c>
      <c r="H21" s="111">
        <v>867000</v>
      </c>
      <c r="I21" s="113" t="s">
        <v>89</v>
      </c>
      <c r="J21" s="111">
        <v>0</v>
      </c>
      <c r="K21" s="111" t="s">
        <v>87</v>
      </c>
      <c r="L21" s="58">
        <v>92944.7</v>
      </c>
      <c r="M21" s="111" t="s">
        <v>87</v>
      </c>
      <c r="N21" s="58">
        <v>0</v>
      </c>
      <c r="O21" s="111" t="s">
        <v>87</v>
      </c>
      <c r="P21" s="113" t="s">
        <v>403</v>
      </c>
      <c r="Q21" s="113" t="s">
        <v>80</v>
      </c>
      <c r="R21" s="113" t="s">
        <v>81</v>
      </c>
      <c r="S21" s="113"/>
      <c r="T21" s="113" t="s">
        <v>82</v>
      </c>
      <c r="U21" s="113">
        <v>104021</v>
      </c>
      <c r="V21" s="113" t="s">
        <v>83</v>
      </c>
      <c r="W21" s="114" t="s">
        <v>90</v>
      </c>
      <c r="X21" s="113" t="s">
        <v>84</v>
      </c>
      <c r="Y21" s="113" t="s">
        <v>85</v>
      </c>
    </row>
    <row r="22" spans="1:25" ht="90" customHeight="1">
      <c r="A22" s="113">
        <v>8</v>
      </c>
      <c r="B22" s="110" t="s">
        <v>298</v>
      </c>
      <c r="C22" s="110" t="s">
        <v>302</v>
      </c>
      <c r="D22" s="110" t="s">
        <v>86</v>
      </c>
      <c r="E22" s="110" t="s">
        <v>282</v>
      </c>
      <c r="F22" s="110" t="s">
        <v>77</v>
      </c>
      <c r="G22" s="110" t="s">
        <v>78</v>
      </c>
      <c r="H22" s="58">
        <v>430000</v>
      </c>
      <c r="I22" s="110" t="s">
        <v>299</v>
      </c>
      <c r="J22" s="58">
        <v>26450</v>
      </c>
      <c r="K22" s="111" t="s">
        <v>87</v>
      </c>
      <c r="L22" s="58">
        <f>41367+31370.03</f>
        <v>72737.03</v>
      </c>
      <c r="M22" s="111" t="s">
        <v>87</v>
      </c>
      <c r="N22" s="58">
        <v>0</v>
      </c>
      <c r="O22" s="111" t="s">
        <v>87</v>
      </c>
      <c r="P22" s="113" t="s">
        <v>403</v>
      </c>
      <c r="Q22" s="113" t="s">
        <v>80</v>
      </c>
      <c r="R22" s="113" t="s">
        <v>81</v>
      </c>
      <c r="S22" s="113"/>
      <c r="T22" s="113" t="s">
        <v>82</v>
      </c>
      <c r="U22" s="113">
        <v>104021</v>
      </c>
      <c r="V22" s="113" t="s">
        <v>83</v>
      </c>
      <c r="W22" s="114" t="s">
        <v>90</v>
      </c>
      <c r="X22" s="113" t="s">
        <v>84</v>
      </c>
      <c r="Y22" s="113" t="s">
        <v>85</v>
      </c>
    </row>
    <row r="23" spans="1:25" ht="72">
      <c r="A23" s="113">
        <v>9</v>
      </c>
      <c r="B23" s="110" t="s">
        <v>300</v>
      </c>
      <c r="C23" s="110" t="s">
        <v>301</v>
      </c>
      <c r="D23" s="110" t="s">
        <v>86</v>
      </c>
      <c r="E23" s="110" t="s">
        <v>283</v>
      </c>
      <c r="F23" s="110" t="s">
        <v>77</v>
      </c>
      <c r="G23" s="110" t="s">
        <v>78</v>
      </c>
      <c r="H23" s="58">
        <v>500000</v>
      </c>
      <c r="I23" s="110" t="s">
        <v>299</v>
      </c>
      <c r="J23" s="58">
        <v>20038</v>
      </c>
      <c r="K23" s="111" t="s">
        <v>87</v>
      </c>
      <c r="L23" s="58">
        <v>40966</v>
      </c>
      <c r="M23" s="111" t="s">
        <v>87</v>
      </c>
      <c r="N23" s="58">
        <v>0</v>
      </c>
      <c r="O23" s="111" t="s">
        <v>87</v>
      </c>
      <c r="P23" s="113"/>
      <c r="Q23" s="113" t="s">
        <v>80</v>
      </c>
      <c r="R23" s="113" t="s">
        <v>81</v>
      </c>
      <c r="S23" s="113"/>
      <c r="T23" s="113" t="s">
        <v>82</v>
      </c>
      <c r="U23" s="113">
        <v>104021</v>
      </c>
      <c r="V23" s="113" t="s">
        <v>83</v>
      </c>
      <c r="W23" s="114" t="s">
        <v>90</v>
      </c>
      <c r="X23" s="113" t="s">
        <v>84</v>
      </c>
      <c r="Y23" s="113" t="s">
        <v>85</v>
      </c>
    </row>
    <row r="24" spans="1:25" s="65" customFormat="1" ht="61.5" customHeight="1">
      <c r="A24" s="110">
        <v>10</v>
      </c>
      <c r="B24" s="110" t="s">
        <v>101</v>
      </c>
      <c r="C24" s="110" t="s">
        <v>102</v>
      </c>
      <c r="D24" s="110" t="s">
        <v>96</v>
      </c>
      <c r="E24" s="110" t="s">
        <v>264</v>
      </c>
      <c r="F24" s="110" t="s">
        <v>77</v>
      </c>
      <c r="G24" s="110" t="s">
        <v>78</v>
      </c>
      <c r="H24" s="67" t="s">
        <v>103</v>
      </c>
      <c r="I24" s="110" t="s">
        <v>104</v>
      </c>
      <c r="J24" s="58">
        <v>14327</v>
      </c>
      <c r="K24" s="112" t="s">
        <v>104</v>
      </c>
      <c r="L24" s="58">
        <f>51348.8+102317+48919.2</f>
        <v>202585</v>
      </c>
      <c r="M24" s="112" t="s">
        <v>104</v>
      </c>
      <c r="N24" s="58">
        <v>0</v>
      </c>
      <c r="O24" s="112" t="s">
        <v>104</v>
      </c>
      <c r="P24" s="68"/>
      <c r="Q24" s="69" t="s">
        <v>97</v>
      </c>
      <c r="R24" s="69" t="s">
        <v>98</v>
      </c>
      <c r="S24" s="69"/>
      <c r="T24" s="69" t="s">
        <v>99</v>
      </c>
      <c r="U24" s="69"/>
      <c r="V24" s="69"/>
      <c r="W24" s="69"/>
      <c r="X24" s="69" t="s">
        <v>97</v>
      </c>
      <c r="Y24" s="113" t="s">
        <v>95</v>
      </c>
    </row>
    <row r="25" spans="1:25" s="65" customFormat="1" ht="51" customHeight="1">
      <c r="A25" s="110">
        <v>11</v>
      </c>
      <c r="B25" s="110" t="s">
        <v>340</v>
      </c>
      <c r="C25" s="110" t="s">
        <v>341</v>
      </c>
      <c r="D25" s="69" t="s">
        <v>339</v>
      </c>
      <c r="E25" s="110" t="s">
        <v>285</v>
      </c>
      <c r="F25" s="110" t="s">
        <v>77</v>
      </c>
      <c r="G25" s="110" t="s">
        <v>78</v>
      </c>
      <c r="H25" s="58">
        <v>193500</v>
      </c>
      <c r="I25" s="110" t="s">
        <v>104</v>
      </c>
      <c r="J25" s="58">
        <v>31961</v>
      </c>
      <c r="K25" s="112" t="s">
        <v>104</v>
      </c>
      <c r="L25" s="58">
        <v>0</v>
      </c>
      <c r="M25" s="112" t="s">
        <v>104</v>
      </c>
      <c r="N25" s="68">
        <v>0</v>
      </c>
      <c r="O25" s="112" t="s">
        <v>104</v>
      </c>
      <c r="P25" s="68"/>
      <c r="Q25" s="70" t="s">
        <v>97</v>
      </c>
      <c r="R25" s="70" t="s">
        <v>98</v>
      </c>
      <c r="S25" s="70"/>
      <c r="T25" s="70" t="s">
        <v>99</v>
      </c>
      <c r="U25" s="70"/>
      <c r="V25" s="70"/>
      <c r="W25" s="70"/>
      <c r="X25" s="70" t="s">
        <v>97</v>
      </c>
      <c r="Y25" s="113" t="s">
        <v>95</v>
      </c>
    </row>
    <row r="26" spans="1:25" ht="60">
      <c r="A26" s="113">
        <v>12</v>
      </c>
      <c r="B26" s="110" t="s">
        <v>163</v>
      </c>
      <c r="C26" s="110" t="s">
        <v>342</v>
      </c>
      <c r="D26" s="110" t="s">
        <v>86</v>
      </c>
      <c r="E26" s="110" t="s">
        <v>164</v>
      </c>
      <c r="F26" s="110" t="s">
        <v>77</v>
      </c>
      <c r="G26" s="110" t="s">
        <v>78</v>
      </c>
      <c r="H26" s="58">
        <v>1820000</v>
      </c>
      <c r="I26" s="110" t="s">
        <v>165</v>
      </c>
      <c r="J26" s="58">
        <v>104659</v>
      </c>
      <c r="K26" s="113" t="s">
        <v>165</v>
      </c>
      <c r="L26" s="58">
        <f>308341.4+161007</f>
        <v>469348.4</v>
      </c>
      <c r="M26" s="111" t="s">
        <v>147</v>
      </c>
      <c r="N26" s="66">
        <v>161007</v>
      </c>
      <c r="O26" s="113" t="s">
        <v>165</v>
      </c>
      <c r="P26" s="113"/>
      <c r="Q26" s="113" t="s">
        <v>166</v>
      </c>
      <c r="R26" s="113" t="s">
        <v>167</v>
      </c>
      <c r="S26" s="113"/>
      <c r="T26" s="113" t="s">
        <v>168</v>
      </c>
      <c r="U26" s="113">
        <v>104009</v>
      </c>
      <c r="V26" s="113" t="s">
        <v>83</v>
      </c>
      <c r="W26" s="113"/>
      <c r="X26" s="113" t="s">
        <v>166</v>
      </c>
      <c r="Y26" s="113" t="s">
        <v>95</v>
      </c>
    </row>
    <row r="27" spans="1:25" s="47" customFormat="1" ht="96">
      <c r="A27" s="110">
        <v>13</v>
      </c>
      <c r="B27" s="110"/>
      <c r="C27" s="110"/>
      <c r="D27" s="110" t="s">
        <v>112</v>
      </c>
      <c r="E27" s="110" t="s">
        <v>113</v>
      </c>
      <c r="F27" s="110" t="s">
        <v>77</v>
      </c>
      <c r="G27" s="110" t="s">
        <v>114</v>
      </c>
      <c r="H27" s="58">
        <v>0</v>
      </c>
      <c r="I27" s="110" t="s">
        <v>115</v>
      </c>
      <c r="J27" s="58">
        <v>529715.6</v>
      </c>
      <c r="K27" s="64" t="s">
        <v>116</v>
      </c>
      <c r="L27" s="45">
        <v>0</v>
      </c>
      <c r="M27" s="64" t="s">
        <v>79</v>
      </c>
      <c r="N27" s="45">
        <v>0</v>
      </c>
      <c r="O27" s="64" t="s">
        <v>79</v>
      </c>
      <c r="P27" s="110"/>
      <c r="Q27" s="110" t="s">
        <v>117</v>
      </c>
      <c r="R27" s="110" t="s">
        <v>118</v>
      </c>
      <c r="S27" s="71"/>
      <c r="T27" s="110" t="s">
        <v>110</v>
      </c>
      <c r="U27" s="110"/>
      <c r="V27" s="110" t="s">
        <v>111</v>
      </c>
      <c r="W27" s="72"/>
      <c r="X27" s="110" t="s">
        <v>119</v>
      </c>
      <c r="Y27" s="110" t="s">
        <v>120</v>
      </c>
    </row>
    <row r="28" spans="1:25" s="47" customFormat="1" ht="72">
      <c r="A28" s="125">
        <v>14</v>
      </c>
      <c r="B28" s="110" t="s">
        <v>133</v>
      </c>
      <c r="C28" s="110" t="s">
        <v>134</v>
      </c>
      <c r="D28" s="110" t="s">
        <v>135</v>
      </c>
      <c r="E28" s="110" t="s">
        <v>136</v>
      </c>
      <c r="F28" s="110" t="s">
        <v>77</v>
      </c>
      <c r="G28" s="110" t="s">
        <v>114</v>
      </c>
      <c r="H28" s="58">
        <v>3099720</v>
      </c>
      <c r="I28" s="110" t="s">
        <v>137</v>
      </c>
      <c r="J28" s="140">
        <v>0</v>
      </c>
      <c r="K28" s="110" t="s">
        <v>137</v>
      </c>
      <c r="L28" s="111">
        <f>2133137.87+76102.98+5681.89+141556.05</f>
        <v>2356478.79</v>
      </c>
      <c r="M28" s="110" t="s">
        <v>137</v>
      </c>
      <c r="N28" s="111">
        <v>141556.05</v>
      </c>
      <c r="O28" s="110" t="s">
        <v>137</v>
      </c>
      <c r="P28" s="111"/>
      <c r="Q28" s="110" t="s">
        <v>130</v>
      </c>
      <c r="R28" s="110" t="s">
        <v>138</v>
      </c>
      <c r="S28" s="110">
        <v>105010</v>
      </c>
      <c r="T28" s="110" t="s">
        <v>110</v>
      </c>
      <c r="U28" s="110" t="s">
        <v>139</v>
      </c>
      <c r="V28" s="110" t="s">
        <v>111</v>
      </c>
      <c r="W28" s="110"/>
      <c r="X28" s="110" t="s">
        <v>130</v>
      </c>
      <c r="Y28" s="110" t="s">
        <v>95</v>
      </c>
    </row>
    <row r="29" spans="1:25" s="47" customFormat="1" ht="72">
      <c r="A29" s="125"/>
      <c r="B29" s="110" t="s">
        <v>140</v>
      </c>
      <c r="C29" s="110" t="s">
        <v>141</v>
      </c>
      <c r="D29" s="110" t="s">
        <v>135</v>
      </c>
      <c r="E29" s="110" t="s">
        <v>136</v>
      </c>
      <c r="F29" s="110" t="s">
        <v>77</v>
      </c>
      <c r="G29" s="110" t="s">
        <v>114</v>
      </c>
      <c r="H29" s="58">
        <v>105500</v>
      </c>
      <c r="I29" s="110" t="s">
        <v>142</v>
      </c>
      <c r="J29" s="140"/>
      <c r="K29" s="110" t="s">
        <v>142</v>
      </c>
      <c r="L29" s="58">
        <f>57504.12+12920.78+12104.59</f>
        <v>82529.49</v>
      </c>
      <c r="M29" s="110" t="s">
        <v>142</v>
      </c>
      <c r="N29" s="111">
        <v>12104.59</v>
      </c>
      <c r="O29" s="110" t="s">
        <v>142</v>
      </c>
      <c r="P29" s="111"/>
      <c r="Q29" s="110" t="s">
        <v>130</v>
      </c>
      <c r="R29" s="110" t="s">
        <v>138</v>
      </c>
      <c r="S29" s="110">
        <v>105010</v>
      </c>
      <c r="T29" s="110" t="s">
        <v>110</v>
      </c>
      <c r="U29" s="110" t="s">
        <v>139</v>
      </c>
      <c r="V29" s="110" t="s">
        <v>111</v>
      </c>
      <c r="W29" s="110"/>
      <c r="X29" s="110" t="s">
        <v>130</v>
      </c>
      <c r="Y29" s="110" t="s">
        <v>95</v>
      </c>
    </row>
    <row r="30" spans="1:25" s="47" customFormat="1" ht="72">
      <c r="A30" s="125"/>
      <c r="B30" s="110"/>
      <c r="C30" s="110" t="s">
        <v>143</v>
      </c>
      <c r="D30" s="110" t="s">
        <v>135</v>
      </c>
      <c r="E30" s="110" t="s">
        <v>136</v>
      </c>
      <c r="F30" s="110" t="s">
        <v>77</v>
      </c>
      <c r="G30" s="110" t="s">
        <v>114</v>
      </c>
      <c r="H30" s="58">
        <v>153500</v>
      </c>
      <c r="I30" s="110" t="s">
        <v>144</v>
      </c>
      <c r="J30" s="140"/>
      <c r="K30" s="110" t="s">
        <v>144</v>
      </c>
      <c r="L30" s="58">
        <f>85001.01+24827.05+13685.45</f>
        <v>123513.51</v>
      </c>
      <c r="M30" s="110" t="s">
        <v>144</v>
      </c>
      <c r="N30" s="111">
        <v>0</v>
      </c>
      <c r="O30" s="110" t="s">
        <v>144</v>
      </c>
      <c r="P30" s="111"/>
      <c r="Q30" s="110" t="s">
        <v>130</v>
      </c>
      <c r="R30" s="110" t="s">
        <v>138</v>
      </c>
      <c r="S30" s="110">
        <v>105010</v>
      </c>
      <c r="T30" s="110" t="s">
        <v>110</v>
      </c>
      <c r="U30" s="110" t="s">
        <v>139</v>
      </c>
      <c r="V30" s="110" t="s">
        <v>111</v>
      </c>
      <c r="W30" s="110"/>
      <c r="X30" s="110" t="s">
        <v>130</v>
      </c>
      <c r="Y30" s="110" t="s">
        <v>95</v>
      </c>
    </row>
    <row r="31" spans="1:25" s="65" customFormat="1" ht="36">
      <c r="A31" s="110">
        <v>15</v>
      </c>
      <c r="B31" s="110"/>
      <c r="C31" s="110" t="s">
        <v>423</v>
      </c>
      <c r="D31" s="110" t="s">
        <v>135</v>
      </c>
      <c r="E31" s="110" t="s">
        <v>273</v>
      </c>
      <c r="F31" s="110" t="s">
        <v>105</v>
      </c>
      <c r="G31" s="110" t="s">
        <v>114</v>
      </c>
      <c r="H31" s="58">
        <v>505000</v>
      </c>
      <c r="I31" s="110" t="s">
        <v>106</v>
      </c>
      <c r="J31" s="141">
        <v>0</v>
      </c>
      <c r="K31" s="112" t="s">
        <v>106</v>
      </c>
      <c r="L31" s="58">
        <f>96877.24+152046.05+26065.52</f>
        <v>274988.81</v>
      </c>
      <c r="M31" s="112" t="s">
        <v>106</v>
      </c>
      <c r="N31" s="68">
        <v>26065.52</v>
      </c>
      <c r="O31" s="112"/>
      <c r="P31" s="68" t="s">
        <v>107</v>
      </c>
      <c r="Q31" s="110" t="s">
        <v>108</v>
      </c>
      <c r="R31" s="110" t="s">
        <v>109</v>
      </c>
      <c r="S31" s="110">
        <v>105010</v>
      </c>
      <c r="T31" s="110" t="s">
        <v>110</v>
      </c>
      <c r="U31" s="110" t="s">
        <v>274</v>
      </c>
      <c r="V31" s="110" t="s">
        <v>111</v>
      </c>
      <c r="W31" s="110"/>
      <c r="X31" s="110"/>
      <c r="Y31" s="110" t="s">
        <v>95</v>
      </c>
    </row>
    <row r="32" spans="1:25" s="109" customFormat="1" ht="67.5" customHeight="1">
      <c r="A32" s="113">
        <v>16</v>
      </c>
      <c r="B32" s="113" t="s">
        <v>121</v>
      </c>
      <c r="C32" s="113" t="s">
        <v>122</v>
      </c>
      <c r="D32" s="113" t="s">
        <v>123</v>
      </c>
      <c r="E32" s="113" t="s">
        <v>124</v>
      </c>
      <c r="F32" s="113" t="s">
        <v>105</v>
      </c>
      <c r="G32" s="113" t="s">
        <v>100</v>
      </c>
      <c r="H32" s="111">
        <v>2225509.3</v>
      </c>
      <c r="I32" s="113" t="s">
        <v>125</v>
      </c>
      <c r="J32" s="111">
        <v>0</v>
      </c>
      <c r="K32" s="111" t="s">
        <v>126</v>
      </c>
      <c r="L32" s="111">
        <f>1208813.7+87385.4+517561.1+328821.5+100630.7+707</f>
        <v>2243919.4</v>
      </c>
      <c r="M32" s="111" t="s">
        <v>126</v>
      </c>
      <c r="N32" s="111">
        <v>707</v>
      </c>
      <c r="O32" s="111" t="s">
        <v>126</v>
      </c>
      <c r="P32" s="113"/>
      <c r="Q32" s="113" t="s">
        <v>127</v>
      </c>
      <c r="R32" s="113" t="s">
        <v>128</v>
      </c>
      <c r="S32" s="113" t="s">
        <v>129</v>
      </c>
      <c r="T32" s="113" t="s">
        <v>130</v>
      </c>
      <c r="U32" s="142" t="s">
        <v>131</v>
      </c>
      <c r="V32" s="113" t="s">
        <v>111</v>
      </c>
      <c r="W32" s="113"/>
      <c r="X32" s="113" t="s">
        <v>127</v>
      </c>
      <c r="Y32" s="113" t="s">
        <v>95</v>
      </c>
    </row>
    <row r="33" spans="1:25" s="109" customFormat="1" ht="120.75" customHeight="1">
      <c r="A33" s="113">
        <v>17</v>
      </c>
      <c r="B33" s="113">
        <v>209914128</v>
      </c>
      <c r="C33" s="113" t="s">
        <v>304</v>
      </c>
      <c r="D33" s="113" t="s">
        <v>135</v>
      </c>
      <c r="E33" s="113" t="s">
        <v>288</v>
      </c>
      <c r="F33" s="110" t="s">
        <v>132</v>
      </c>
      <c r="G33" s="110" t="s">
        <v>114</v>
      </c>
      <c r="H33" s="58">
        <v>5000000</v>
      </c>
      <c r="I33" s="110" t="s">
        <v>106</v>
      </c>
      <c r="J33" s="111">
        <v>32380</v>
      </c>
      <c r="K33" s="110" t="s">
        <v>106</v>
      </c>
      <c r="L33" s="111">
        <f>37688.3+89564.8+13506.11</f>
        <v>140759.21000000002</v>
      </c>
      <c r="M33" s="110" t="s">
        <v>106</v>
      </c>
      <c r="N33" s="111">
        <v>13506.11</v>
      </c>
      <c r="O33" s="110" t="s">
        <v>106</v>
      </c>
      <c r="P33" s="113"/>
      <c r="Q33" s="110" t="s">
        <v>108</v>
      </c>
      <c r="R33" s="110" t="s">
        <v>138</v>
      </c>
      <c r="S33" s="110">
        <v>105010</v>
      </c>
      <c r="T33" s="110" t="s">
        <v>110</v>
      </c>
      <c r="U33" s="110" t="s">
        <v>153</v>
      </c>
      <c r="V33" s="110" t="s">
        <v>111</v>
      </c>
      <c r="W33" s="110"/>
      <c r="X33" s="110" t="s">
        <v>150</v>
      </c>
      <c r="Y33" s="110" t="s">
        <v>95</v>
      </c>
    </row>
    <row r="34" spans="1:25" s="47" customFormat="1" ht="84">
      <c r="A34" s="110">
        <v>18</v>
      </c>
      <c r="B34" s="110"/>
      <c r="C34" s="110" t="s">
        <v>424</v>
      </c>
      <c r="D34" s="110" t="s">
        <v>145</v>
      </c>
      <c r="E34" s="110" t="s">
        <v>343</v>
      </c>
      <c r="F34" s="110" t="s">
        <v>105</v>
      </c>
      <c r="G34" s="110" t="s">
        <v>114</v>
      </c>
      <c r="H34" s="58">
        <v>7000000</v>
      </c>
      <c r="I34" s="110" t="s">
        <v>146</v>
      </c>
      <c r="J34" s="58">
        <v>282923</v>
      </c>
      <c r="K34" s="110" t="s">
        <v>146</v>
      </c>
      <c r="L34" s="58">
        <f>42514.3+2760096</f>
        <v>2802610.3</v>
      </c>
      <c r="M34" s="110" t="s">
        <v>147</v>
      </c>
      <c r="N34" s="58">
        <v>0</v>
      </c>
      <c r="O34" s="110"/>
      <c r="P34" s="110" t="s">
        <v>148</v>
      </c>
      <c r="Q34" s="110" t="s">
        <v>108</v>
      </c>
      <c r="R34" s="110" t="s">
        <v>138</v>
      </c>
      <c r="S34" s="110">
        <v>105010</v>
      </c>
      <c r="T34" s="110" t="s">
        <v>110</v>
      </c>
      <c r="U34" s="110" t="s">
        <v>149</v>
      </c>
      <c r="V34" s="110" t="s">
        <v>111</v>
      </c>
      <c r="W34" s="110"/>
      <c r="X34" s="110" t="s">
        <v>150</v>
      </c>
      <c r="Y34" s="110" t="s">
        <v>95</v>
      </c>
    </row>
    <row r="35" spans="1:25" s="47" customFormat="1" ht="156">
      <c r="A35" s="143">
        <v>19</v>
      </c>
      <c r="B35" s="143"/>
      <c r="C35" s="143" t="s">
        <v>303</v>
      </c>
      <c r="D35" s="143" t="s">
        <v>151</v>
      </c>
      <c r="E35" s="143" t="s">
        <v>152</v>
      </c>
      <c r="F35" s="143" t="s">
        <v>132</v>
      </c>
      <c r="G35" s="143" t="s">
        <v>114</v>
      </c>
      <c r="H35" s="144">
        <v>11750</v>
      </c>
      <c r="I35" s="143" t="s">
        <v>106</v>
      </c>
      <c r="J35" s="144">
        <v>33809</v>
      </c>
      <c r="K35" s="143" t="s">
        <v>106</v>
      </c>
      <c r="L35" s="58">
        <f>270832.79+50825.1+52720.1+44561+57742.4</f>
        <v>476681.38999999996</v>
      </c>
      <c r="M35" s="143" t="s">
        <v>106</v>
      </c>
      <c r="N35" s="145">
        <v>57742.4</v>
      </c>
      <c r="O35" s="143"/>
      <c r="P35" s="143" t="s">
        <v>272</v>
      </c>
      <c r="Q35" s="143" t="s">
        <v>108</v>
      </c>
      <c r="R35" s="143" t="s">
        <v>138</v>
      </c>
      <c r="S35" s="143">
        <v>105010</v>
      </c>
      <c r="T35" s="143" t="s">
        <v>110</v>
      </c>
      <c r="U35" s="143" t="s">
        <v>153</v>
      </c>
      <c r="V35" s="143" t="s">
        <v>111</v>
      </c>
      <c r="W35" s="143"/>
      <c r="X35" s="143" t="s">
        <v>150</v>
      </c>
      <c r="Y35" s="110" t="s">
        <v>95</v>
      </c>
    </row>
    <row r="36" spans="1:25" ht="90" customHeight="1">
      <c r="A36" s="113">
        <v>20</v>
      </c>
      <c r="B36" s="110" t="s">
        <v>187</v>
      </c>
      <c r="C36" s="110" t="s">
        <v>425</v>
      </c>
      <c r="D36" s="110" t="s">
        <v>188</v>
      </c>
      <c r="E36" s="110" t="s">
        <v>189</v>
      </c>
      <c r="F36" s="110" t="s">
        <v>190</v>
      </c>
      <c r="G36" s="110" t="s">
        <v>114</v>
      </c>
      <c r="H36" s="58">
        <v>450000</v>
      </c>
      <c r="I36" s="110" t="s">
        <v>147</v>
      </c>
      <c r="J36" s="58">
        <v>17957.07</v>
      </c>
      <c r="K36" s="113" t="s">
        <v>147</v>
      </c>
      <c r="L36" s="111">
        <f>20566.5+9300.8+10670.98+6199.51+19301.58+26574.11+33957.87</f>
        <v>126571.35</v>
      </c>
      <c r="M36" s="113" t="s">
        <v>147</v>
      </c>
      <c r="N36" s="58">
        <v>33957.87</v>
      </c>
      <c r="O36" s="113" t="s">
        <v>147</v>
      </c>
      <c r="P36" s="113"/>
      <c r="Q36" s="113" t="s">
        <v>191</v>
      </c>
      <c r="R36" s="113" t="s">
        <v>192</v>
      </c>
      <c r="S36" s="113"/>
      <c r="T36" s="113" t="s">
        <v>159</v>
      </c>
      <c r="U36" s="113">
        <v>104007</v>
      </c>
      <c r="V36" s="113" t="s">
        <v>83</v>
      </c>
      <c r="W36" s="114"/>
      <c r="X36" s="113"/>
      <c r="Y36" s="110" t="s">
        <v>95</v>
      </c>
    </row>
    <row r="37" spans="1:37" s="113" customFormat="1" ht="92.25" customHeight="1">
      <c r="A37" s="113">
        <v>21</v>
      </c>
      <c r="B37" s="110" t="s">
        <v>317</v>
      </c>
      <c r="C37" s="113" t="s">
        <v>318</v>
      </c>
      <c r="D37" s="113" t="s">
        <v>319</v>
      </c>
      <c r="E37" s="113" t="s">
        <v>305</v>
      </c>
      <c r="F37" s="110" t="s">
        <v>190</v>
      </c>
      <c r="G37" s="110" t="s">
        <v>114</v>
      </c>
      <c r="H37" s="58">
        <v>900000</v>
      </c>
      <c r="I37" s="110" t="s">
        <v>147</v>
      </c>
      <c r="J37" s="58">
        <v>54710</v>
      </c>
      <c r="K37" s="113" t="s">
        <v>147</v>
      </c>
      <c r="L37" s="58">
        <f>74689.2+24129.16+58178.73</f>
        <v>156997.09</v>
      </c>
      <c r="M37" s="113" t="s">
        <v>147</v>
      </c>
      <c r="N37" s="58">
        <v>58178.73</v>
      </c>
      <c r="O37" s="113" t="s">
        <v>147</v>
      </c>
      <c r="Q37" s="113" t="s">
        <v>191</v>
      </c>
      <c r="R37" s="113" t="s">
        <v>192</v>
      </c>
      <c r="T37" s="113" t="s">
        <v>159</v>
      </c>
      <c r="U37" s="113">
        <v>104007</v>
      </c>
      <c r="V37" s="113" t="s">
        <v>83</v>
      </c>
      <c r="W37" s="114"/>
      <c r="Y37" s="110" t="s">
        <v>95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</row>
    <row r="38" spans="1:25" ht="79.5" customHeight="1">
      <c r="A38" s="113">
        <v>22</v>
      </c>
      <c r="B38" s="113" t="s">
        <v>314</v>
      </c>
      <c r="C38" s="69" t="s">
        <v>315</v>
      </c>
      <c r="D38" s="113" t="s">
        <v>316</v>
      </c>
      <c r="E38" s="113" t="s">
        <v>290</v>
      </c>
      <c r="F38" s="110" t="s">
        <v>77</v>
      </c>
      <c r="G38" s="110" t="s">
        <v>77</v>
      </c>
      <c r="H38" s="111">
        <v>738000</v>
      </c>
      <c r="I38" s="110" t="s">
        <v>89</v>
      </c>
      <c r="J38" s="58">
        <v>58484</v>
      </c>
      <c r="K38" s="110" t="s">
        <v>89</v>
      </c>
      <c r="L38" s="50">
        <v>0</v>
      </c>
      <c r="M38" s="110" t="s">
        <v>89</v>
      </c>
      <c r="N38" s="50">
        <v>0</v>
      </c>
      <c r="O38" s="110" t="s">
        <v>89</v>
      </c>
      <c r="P38" s="69" t="s">
        <v>313</v>
      </c>
      <c r="Q38" s="113" t="s">
        <v>183</v>
      </c>
      <c r="R38" s="113" t="s">
        <v>184</v>
      </c>
      <c r="S38" s="113" t="s">
        <v>185</v>
      </c>
      <c r="T38" s="113"/>
      <c r="U38" s="113">
        <v>104002</v>
      </c>
      <c r="V38" s="113" t="s">
        <v>83</v>
      </c>
      <c r="W38" s="114"/>
      <c r="X38" s="113" t="s">
        <v>186</v>
      </c>
      <c r="Y38" s="110" t="s">
        <v>95</v>
      </c>
    </row>
    <row r="39" spans="1:25" ht="72">
      <c r="A39" s="113">
        <v>23</v>
      </c>
      <c r="B39" s="69" t="s">
        <v>312</v>
      </c>
      <c r="C39" s="69" t="s">
        <v>311</v>
      </c>
      <c r="D39" s="69" t="s">
        <v>266</v>
      </c>
      <c r="E39" s="69" t="s">
        <v>291</v>
      </c>
      <c r="F39" s="110" t="s">
        <v>77</v>
      </c>
      <c r="G39" s="110" t="s">
        <v>114</v>
      </c>
      <c r="H39" s="111">
        <v>164108</v>
      </c>
      <c r="I39" s="110" t="s">
        <v>89</v>
      </c>
      <c r="J39" s="58">
        <v>0</v>
      </c>
      <c r="K39" s="110" t="s">
        <v>89</v>
      </c>
      <c r="L39" s="58">
        <f>130569.81+24607.06+8394.24</f>
        <v>163571.11</v>
      </c>
      <c r="M39" s="110" t="s">
        <v>89</v>
      </c>
      <c r="N39" s="58">
        <v>8394.24</v>
      </c>
      <c r="O39" s="110" t="s">
        <v>89</v>
      </c>
      <c r="P39" s="69" t="s">
        <v>313</v>
      </c>
      <c r="Q39" s="113" t="s">
        <v>183</v>
      </c>
      <c r="R39" s="113" t="s">
        <v>184</v>
      </c>
      <c r="S39" s="113" t="s">
        <v>185</v>
      </c>
      <c r="T39" s="113"/>
      <c r="U39" s="113">
        <v>104002</v>
      </c>
      <c r="V39" s="113" t="s">
        <v>83</v>
      </c>
      <c r="W39" s="114"/>
      <c r="X39" s="113" t="s">
        <v>186</v>
      </c>
      <c r="Y39" s="110" t="s">
        <v>95</v>
      </c>
    </row>
    <row r="40" spans="1:25" ht="48">
      <c r="A40" s="113">
        <v>24</v>
      </c>
      <c r="B40" s="110" t="s">
        <v>340</v>
      </c>
      <c r="C40" s="69" t="s">
        <v>341</v>
      </c>
      <c r="D40" s="69" t="s">
        <v>339</v>
      </c>
      <c r="E40" s="69" t="s">
        <v>292</v>
      </c>
      <c r="F40" s="110" t="s">
        <v>77</v>
      </c>
      <c r="G40" s="110" t="s">
        <v>114</v>
      </c>
      <c r="H40" s="111">
        <v>193500</v>
      </c>
      <c r="I40" s="69" t="s">
        <v>344</v>
      </c>
      <c r="J40" s="58">
        <v>180442</v>
      </c>
      <c r="K40" s="112" t="s">
        <v>104</v>
      </c>
      <c r="L40" s="58">
        <v>406840</v>
      </c>
      <c r="M40" s="112" t="s">
        <v>104</v>
      </c>
      <c r="N40" s="58">
        <v>0</v>
      </c>
      <c r="O40" s="112" t="s">
        <v>104</v>
      </c>
      <c r="P40" s="113"/>
      <c r="Q40" s="113" t="s">
        <v>97</v>
      </c>
      <c r="R40" s="113" t="s">
        <v>98</v>
      </c>
      <c r="S40" s="113"/>
      <c r="T40" s="113" t="s">
        <v>99</v>
      </c>
      <c r="U40" s="113"/>
      <c r="V40" s="113"/>
      <c r="W40" s="113"/>
      <c r="X40" s="113" t="s">
        <v>97</v>
      </c>
      <c r="Y40" s="113" t="s">
        <v>95</v>
      </c>
    </row>
    <row r="41" spans="1:25" ht="72">
      <c r="A41" s="113">
        <v>25</v>
      </c>
      <c r="B41" s="69"/>
      <c r="C41" s="69"/>
      <c r="D41" s="69" t="s">
        <v>366</v>
      </c>
      <c r="E41" s="69" t="s">
        <v>293</v>
      </c>
      <c r="F41" s="113" t="s">
        <v>77</v>
      </c>
      <c r="G41" s="113" t="s">
        <v>114</v>
      </c>
      <c r="H41" s="111">
        <v>2083767.5</v>
      </c>
      <c r="I41" s="69" t="s">
        <v>367</v>
      </c>
      <c r="J41" s="111">
        <v>693074</v>
      </c>
      <c r="K41" s="69" t="s">
        <v>367</v>
      </c>
      <c r="L41" s="146">
        <v>0</v>
      </c>
      <c r="M41" s="69" t="s">
        <v>367</v>
      </c>
      <c r="N41" s="146">
        <v>0</v>
      </c>
      <c r="O41" s="69" t="s">
        <v>368</v>
      </c>
      <c r="P41" s="113"/>
      <c r="Q41" s="113" t="s">
        <v>369</v>
      </c>
      <c r="R41" s="73" t="s">
        <v>370</v>
      </c>
      <c r="S41" s="73">
        <v>13</v>
      </c>
      <c r="T41" s="73" t="s">
        <v>371</v>
      </c>
      <c r="U41" s="69" t="s">
        <v>372</v>
      </c>
      <c r="V41" s="113" t="s">
        <v>111</v>
      </c>
      <c r="W41" s="73" t="s">
        <v>373</v>
      </c>
      <c r="X41" s="113" t="s">
        <v>369</v>
      </c>
      <c r="Y41" s="113" t="s">
        <v>95</v>
      </c>
    </row>
    <row r="42" spans="1:25" ht="81" customHeight="1">
      <c r="A42" s="113">
        <v>26</v>
      </c>
      <c r="B42" s="69"/>
      <c r="C42" s="69"/>
      <c r="D42" s="69" t="s">
        <v>352</v>
      </c>
      <c r="E42" s="69" t="s">
        <v>294</v>
      </c>
      <c r="F42" s="113" t="s">
        <v>190</v>
      </c>
      <c r="G42" s="147" t="s">
        <v>114</v>
      </c>
      <c r="H42" s="58">
        <v>157646.1</v>
      </c>
      <c r="I42" s="69" t="s">
        <v>353</v>
      </c>
      <c r="J42" s="58">
        <v>29000</v>
      </c>
      <c r="K42" s="69" t="s">
        <v>353</v>
      </c>
      <c r="L42" s="146">
        <v>0</v>
      </c>
      <c r="M42" s="69" t="s">
        <v>353</v>
      </c>
      <c r="N42" s="146">
        <v>0</v>
      </c>
      <c r="O42" s="69"/>
      <c r="P42" s="113"/>
      <c r="Q42" s="113" t="s">
        <v>354</v>
      </c>
      <c r="R42" s="73"/>
      <c r="S42" s="73" t="s">
        <v>355</v>
      </c>
      <c r="T42" s="113" t="s">
        <v>354</v>
      </c>
      <c r="U42" s="69" t="s">
        <v>356</v>
      </c>
      <c r="V42" s="110" t="s">
        <v>111</v>
      </c>
      <c r="W42" s="148">
        <v>900011474310</v>
      </c>
      <c r="X42" s="73" t="s">
        <v>357</v>
      </c>
      <c r="Y42" s="110" t="s">
        <v>95</v>
      </c>
    </row>
    <row r="43" spans="1:25" ht="102" customHeight="1">
      <c r="A43" s="113">
        <v>27</v>
      </c>
      <c r="B43" s="113" t="s">
        <v>306</v>
      </c>
      <c r="C43" s="113" t="s">
        <v>307</v>
      </c>
      <c r="D43" s="113" t="s">
        <v>135</v>
      </c>
      <c r="E43" s="69" t="s">
        <v>295</v>
      </c>
      <c r="F43" s="110" t="s">
        <v>105</v>
      </c>
      <c r="G43" s="147" t="s">
        <v>114</v>
      </c>
      <c r="H43" s="58">
        <v>250000</v>
      </c>
      <c r="I43" s="110" t="s">
        <v>106</v>
      </c>
      <c r="J43" s="58">
        <v>226271</v>
      </c>
      <c r="K43" s="110" t="s">
        <v>106</v>
      </c>
      <c r="L43" s="146">
        <v>0</v>
      </c>
      <c r="M43" s="110" t="s">
        <v>106</v>
      </c>
      <c r="N43" s="66">
        <v>0</v>
      </c>
      <c r="O43" s="69"/>
      <c r="P43" s="113"/>
      <c r="Q43" s="110" t="s">
        <v>108</v>
      </c>
      <c r="R43" s="110" t="s">
        <v>138</v>
      </c>
      <c r="S43" s="110">
        <v>105010</v>
      </c>
      <c r="T43" s="110" t="s">
        <v>110</v>
      </c>
      <c r="U43" s="110" t="s">
        <v>308</v>
      </c>
      <c r="V43" s="110" t="s">
        <v>111</v>
      </c>
      <c r="W43" s="110"/>
      <c r="X43" s="110" t="s">
        <v>150</v>
      </c>
      <c r="Y43" s="110" t="s">
        <v>95</v>
      </c>
    </row>
    <row r="44" spans="1:25" ht="88.5" customHeight="1">
      <c r="A44" s="113">
        <v>28</v>
      </c>
      <c r="B44" s="110" t="s">
        <v>310</v>
      </c>
      <c r="C44" s="110" t="s">
        <v>426</v>
      </c>
      <c r="D44" s="110" t="s">
        <v>275</v>
      </c>
      <c r="E44" s="110" t="s">
        <v>180</v>
      </c>
      <c r="F44" s="110" t="s">
        <v>105</v>
      </c>
      <c r="G44" s="110" t="s">
        <v>100</v>
      </c>
      <c r="H44" s="58">
        <v>169742</v>
      </c>
      <c r="I44" s="110" t="s">
        <v>181</v>
      </c>
      <c r="J44" s="58">
        <v>22577</v>
      </c>
      <c r="K44" s="113" t="s">
        <v>181</v>
      </c>
      <c r="L44" s="58">
        <f>12256.68+28415.95+53497.72</f>
        <v>94170.35</v>
      </c>
      <c r="M44" s="113" t="s">
        <v>181</v>
      </c>
      <c r="N44" s="58">
        <v>53497.72</v>
      </c>
      <c r="O44" s="113" t="s">
        <v>181</v>
      </c>
      <c r="P44" s="113" t="s">
        <v>182</v>
      </c>
      <c r="Q44" s="113" t="s">
        <v>183</v>
      </c>
      <c r="R44" s="113" t="s">
        <v>184</v>
      </c>
      <c r="S44" s="113" t="s">
        <v>185</v>
      </c>
      <c r="T44" s="113"/>
      <c r="U44" s="113">
        <v>104002</v>
      </c>
      <c r="V44" s="113" t="s">
        <v>83</v>
      </c>
      <c r="W44" s="114"/>
      <c r="X44" s="113" t="s">
        <v>186</v>
      </c>
      <c r="Y44" s="110" t="s">
        <v>95</v>
      </c>
    </row>
    <row r="45" spans="1:25" s="75" customFormat="1" ht="60">
      <c r="A45" s="74">
        <v>29</v>
      </c>
      <c r="B45" s="113" t="s">
        <v>265</v>
      </c>
      <c r="C45" s="113" t="s">
        <v>427</v>
      </c>
      <c r="D45" s="113" t="s">
        <v>266</v>
      </c>
      <c r="E45" s="113" t="s">
        <v>267</v>
      </c>
      <c r="F45" s="113" t="s">
        <v>190</v>
      </c>
      <c r="G45" s="113" t="s">
        <v>114</v>
      </c>
      <c r="H45" s="111">
        <v>360000</v>
      </c>
      <c r="I45" s="113" t="s">
        <v>268</v>
      </c>
      <c r="J45" s="111">
        <v>0</v>
      </c>
      <c r="K45" s="113" t="s">
        <v>268</v>
      </c>
      <c r="L45" s="111">
        <f>(76344+34432.84+1239.74)-7907.79</f>
        <v>104108.79000000001</v>
      </c>
      <c r="M45" s="113" t="s">
        <v>268</v>
      </c>
      <c r="N45" s="111">
        <v>-7907.79</v>
      </c>
      <c r="O45" s="113" t="s">
        <v>268</v>
      </c>
      <c r="P45" s="113" t="s">
        <v>182</v>
      </c>
      <c r="Q45" s="113" t="s">
        <v>269</v>
      </c>
      <c r="R45" s="113" t="s">
        <v>270</v>
      </c>
      <c r="S45" s="74"/>
      <c r="T45" s="113" t="s">
        <v>271</v>
      </c>
      <c r="U45" s="113">
        <v>9060147</v>
      </c>
      <c r="V45" s="74" t="s">
        <v>83</v>
      </c>
      <c r="W45" s="148">
        <v>900000901083</v>
      </c>
      <c r="X45" s="74" t="s">
        <v>269</v>
      </c>
      <c r="Y45" s="110" t="s">
        <v>95</v>
      </c>
    </row>
    <row r="46" spans="1:25" s="75" customFormat="1" ht="60">
      <c r="A46" s="74">
        <v>30</v>
      </c>
      <c r="B46" s="113" t="s">
        <v>335</v>
      </c>
      <c r="C46" s="113" t="s">
        <v>428</v>
      </c>
      <c r="D46" s="113" t="s">
        <v>334</v>
      </c>
      <c r="E46" s="113" t="s">
        <v>333</v>
      </c>
      <c r="F46" s="113" t="s">
        <v>190</v>
      </c>
      <c r="G46" s="113" t="s">
        <v>114</v>
      </c>
      <c r="H46" s="111">
        <v>520000</v>
      </c>
      <c r="I46" s="113" t="s">
        <v>147</v>
      </c>
      <c r="J46" s="111">
        <v>0</v>
      </c>
      <c r="K46" s="113" t="s">
        <v>147</v>
      </c>
      <c r="L46" s="111">
        <f>163753.1+16686.04</f>
        <v>180439.14</v>
      </c>
      <c r="M46" s="113" t="s">
        <v>147</v>
      </c>
      <c r="N46" s="111">
        <v>0</v>
      </c>
      <c r="O46" s="113" t="s">
        <v>147</v>
      </c>
      <c r="P46" s="113"/>
      <c r="Q46" s="113" t="s">
        <v>191</v>
      </c>
      <c r="R46" s="113" t="s">
        <v>192</v>
      </c>
      <c r="S46" s="113"/>
      <c r="T46" s="113" t="s">
        <v>159</v>
      </c>
      <c r="U46" s="113">
        <v>104007</v>
      </c>
      <c r="V46" s="113" t="s">
        <v>83</v>
      </c>
      <c r="W46" s="114"/>
      <c r="X46" s="113"/>
      <c r="Y46" s="110" t="s">
        <v>95</v>
      </c>
    </row>
    <row r="47" spans="1:25" s="75" customFormat="1" ht="83.25" customHeight="1">
      <c r="A47" s="74">
        <v>31</v>
      </c>
      <c r="B47" s="113" t="s">
        <v>348</v>
      </c>
      <c r="C47" s="69" t="s">
        <v>429</v>
      </c>
      <c r="D47" s="69" t="s">
        <v>86</v>
      </c>
      <c r="E47" s="69" t="s">
        <v>336</v>
      </c>
      <c r="F47" s="113" t="s">
        <v>190</v>
      </c>
      <c r="G47" s="113" t="s">
        <v>114</v>
      </c>
      <c r="H47" s="111">
        <v>200000</v>
      </c>
      <c r="I47" s="110" t="s">
        <v>181</v>
      </c>
      <c r="J47" s="76">
        <v>22618</v>
      </c>
      <c r="K47" s="69" t="s">
        <v>87</v>
      </c>
      <c r="L47" s="76">
        <f>20679.5+54634.53</f>
        <v>75314.03</v>
      </c>
      <c r="M47" s="69" t="s">
        <v>87</v>
      </c>
      <c r="N47" s="76">
        <v>0</v>
      </c>
      <c r="O47" s="69" t="s">
        <v>87</v>
      </c>
      <c r="P47" s="113"/>
      <c r="Q47" s="113" t="s">
        <v>80</v>
      </c>
      <c r="R47" s="113" t="s">
        <v>81</v>
      </c>
      <c r="S47" s="113"/>
      <c r="T47" s="113" t="s">
        <v>82</v>
      </c>
      <c r="U47" s="113">
        <v>104021</v>
      </c>
      <c r="V47" s="113" t="s">
        <v>83</v>
      </c>
      <c r="W47" s="114" t="s">
        <v>90</v>
      </c>
      <c r="X47" s="113" t="s">
        <v>84</v>
      </c>
      <c r="Y47" s="113" t="s">
        <v>85</v>
      </c>
    </row>
    <row r="48" spans="1:25" s="75" customFormat="1" ht="85.5" customHeight="1">
      <c r="A48" s="74">
        <v>32</v>
      </c>
      <c r="B48" s="69"/>
      <c r="C48" s="69" t="s">
        <v>430</v>
      </c>
      <c r="D48" s="69" t="s">
        <v>349</v>
      </c>
      <c r="E48" s="69" t="s">
        <v>337</v>
      </c>
      <c r="F48" s="113" t="s">
        <v>190</v>
      </c>
      <c r="G48" s="113" t="s">
        <v>114</v>
      </c>
      <c r="H48" s="111">
        <v>754600.5</v>
      </c>
      <c r="I48" s="69" t="s">
        <v>350</v>
      </c>
      <c r="J48" s="76">
        <v>0</v>
      </c>
      <c r="K48" s="69" t="s">
        <v>350</v>
      </c>
      <c r="L48" s="76">
        <v>0</v>
      </c>
      <c r="M48" s="69" t="s">
        <v>350</v>
      </c>
      <c r="N48" s="76">
        <v>0</v>
      </c>
      <c r="O48" s="69" t="s">
        <v>350</v>
      </c>
      <c r="P48" s="113"/>
      <c r="Q48" s="113" t="s">
        <v>168</v>
      </c>
      <c r="R48" s="73" t="s">
        <v>351</v>
      </c>
      <c r="S48" s="77"/>
      <c r="T48" s="113" t="s">
        <v>82</v>
      </c>
      <c r="U48" s="69">
        <v>104009</v>
      </c>
      <c r="V48" s="113" t="s">
        <v>83</v>
      </c>
      <c r="W48" s="78">
        <v>9000011401178</v>
      </c>
      <c r="X48" s="77" t="s">
        <v>168</v>
      </c>
      <c r="Y48" s="74" t="s">
        <v>179</v>
      </c>
    </row>
    <row r="49" spans="1:25" s="63" customFormat="1" ht="116.25" customHeight="1">
      <c r="A49" s="147">
        <v>33</v>
      </c>
      <c r="B49" s="147"/>
      <c r="C49" s="147" t="s">
        <v>431</v>
      </c>
      <c r="D49" s="147" t="s">
        <v>193</v>
      </c>
      <c r="E49" s="147" t="s">
        <v>194</v>
      </c>
      <c r="F49" s="147" t="s">
        <v>198</v>
      </c>
      <c r="G49" s="147" t="s">
        <v>114</v>
      </c>
      <c r="H49" s="149">
        <v>13766.44</v>
      </c>
      <c r="I49" s="147" t="s">
        <v>194</v>
      </c>
      <c r="J49" s="149">
        <v>0</v>
      </c>
      <c r="K49" s="147" t="s">
        <v>194</v>
      </c>
      <c r="L49" s="149">
        <v>6243.86</v>
      </c>
      <c r="M49" s="147" t="s">
        <v>194</v>
      </c>
      <c r="N49" s="149">
        <v>0</v>
      </c>
      <c r="O49" s="147" t="s">
        <v>194</v>
      </c>
      <c r="P49" s="147"/>
      <c r="Q49" s="60" t="s">
        <v>195</v>
      </c>
      <c r="R49" s="60" t="s">
        <v>196</v>
      </c>
      <c r="S49" s="60"/>
      <c r="T49" s="60" t="s">
        <v>197</v>
      </c>
      <c r="U49" s="60">
        <v>105007</v>
      </c>
      <c r="V49" s="60" t="s">
        <v>83</v>
      </c>
      <c r="W49" s="150">
        <v>900011522227</v>
      </c>
      <c r="X49" s="60" t="s">
        <v>197</v>
      </c>
      <c r="Y49" s="60" t="s">
        <v>179</v>
      </c>
    </row>
    <row r="50" spans="1:25" ht="56.25" customHeight="1">
      <c r="A50" s="69">
        <v>34</v>
      </c>
      <c r="B50" s="69" t="s">
        <v>345</v>
      </c>
      <c r="C50" s="69" t="s">
        <v>432</v>
      </c>
      <c r="D50" s="69" t="s">
        <v>339</v>
      </c>
      <c r="E50" s="69" t="s">
        <v>346</v>
      </c>
      <c r="F50" s="69" t="s">
        <v>77</v>
      </c>
      <c r="G50" s="69" t="s">
        <v>78</v>
      </c>
      <c r="H50" s="76">
        <v>1680000</v>
      </c>
      <c r="I50" s="69" t="s">
        <v>104</v>
      </c>
      <c r="J50" s="76">
        <v>0</v>
      </c>
      <c r="K50" s="79" t="s">
        <v>104</v>
      </c>
      <c r="L50" s="58">
        <f>633735.9+5107.38+5107.38</f>
        <v>643950.66</v>
      </c>
      <c r="M50" s="79" t="s">
        <v>104</v>
      </c>
      <c r="N50" s="58">
        <v>0</v>
      </c>
      <c r="O50" s="79" t="s">
        <v>104</v>
      </c>
      <c r="P50" s="80"/>
      <c r="Q50" s="69" t="s">
        <v>97</v>
      </c>
      <c r="R50" s="69" t="s">
        <v>98</v>
      </c>
      <c r="S50" s="69"/>
      <c r="T50" s="69" t="s">
        <v>99</v>
      </c>
      <c r="U50" s="69"/>
      <c r="V50" s="69"/>
      <c r="W50" s="69"/>
      <c r="X50" s="69" t="s">
        <v>97</v>
      </c>
      <c r="Y50" s="113" t="s">
        <v>95</v>
      </c>
    </row>
    <row r="51" spans="1:25" ht="56.25" customHeight="1">
      <c r="A51" s="69">
        <v>35</v>
      </c>
      <c r="B51" s="69" t="s">
        <v>361</v>
      </c>
      <c r="C51" s="69" t="s">
        <v>362</v>
      </c>
      <c r="D51" s="69" t="s">
        <v>363</v>
      </c>
      <c r="E51" s="69" t="s">
        <v>364</v>
      </c>
      <c r="F51" s="69" t="s">
        <v>77</v>
      </c>
      <c r="G51" s="69" t="s">
        <v>78</v>
      </c>
      <c r="H51" s="76">
        <v>253202.2</v>
      </c>
      <c r="I51" s="69" t="s">
        <v>106</v>
      </c>
      <c r="J51" s="76">
        <v>0</v>
      </c>
      <c r="K51" s="79" t="s">
        <v>106</v>
      </c>
      <c r="L51" s="141">
        <f>34644.78+170316.7</f>
        <v>204961.48</v>
      </c>
      <c r="M51" s="79" t="s">
        <v>106</v>
      </c>
      <c r="N51" s="58">
        <v>0</v>
      </c>
      <c r="O51" s="79" t="s">
        <v>106</v>
      </c>
      <c r="P51" s="80"/>
      <c r="Q51" s="113" t="s">
        <v>108</v>
      </c>
      <c r="R51" s="113" t="s">
        <v>138</v>
      </c>
      <c r="S51" s="113">
        <v>105010</v>
      </c>
      <c r="T51" s="113" t="s">
        <v>110</v>
      </c>
      <c r="U51" s="113">
        <v>4020409</v>
      </c>
      <c r="V51" s="113" t="s">
        <v>111</v>
      </c>
      <c r="W51" s="113"/>
      <c r="X51" s="113" t="s">
        <v>150</v>
      </c>
      <c r="Y51" s="113" t="s">
        <v>95</v>
      </c>
    </row>
    <row r="52" spans="1:25" ht="69.75" customHeight="1">
      <c r="A52" s="69">
        <v>36</v>
      </c>
      <c r="B52" s="69"/>
      <c r="C52" s="69"/>
      <c r="D52" s="69"/>
      <c r="E52" s="69" t="s">
        <v>405</v>
      </c>
      <c r="F52" s="69" t="s">
        <v>77</v>
      </c>
      <c r="G52" s="69" t="s">
        <v>78</v>
      </c>
      <c r="H52" s="76">
        <v>31276.5</v>
      </c>
      <c r="I52" s="69"/>
      <c r="J52" s="76">
        <v>16213.8</v>
      </c>
      <c r="K52" s="79"/>
      <c r="L52" s="80"/>
      <c r="M52" s="79"/>
      <c r="N52" s="80"/>
      <c r="O52" s="79"/>
      <c r="P52" s="80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:25" s="57" customFormat="1" ht="45.75" customHeight="1">
      <c r="A53" s="131" t="s">
        <v>347</v>
      </c>
      <c r="B53" s="131"/>
      <c r="C53" s="131"/>
      <c r="D53" s="131"/>
      <c r="E53" s="131"/>
      <c r="F53" s="55"/>
      <c r="G53" s="55"/>
      <c r="H53" s="55"/>
      <c r="I53" s="55"/>
      <c r="J53" s="56">
        <f>SUM(J13:J52)-J15-J16</f>
        <v>3144196.4699999997</v>
      </c>
      <c r="K53" s="56"/>
      <c r="L53" s="56">
        <f>L13+L14+L17+L18+L19+L20+L21+L22+L23+L24+L25+L26+L27+L28+L31+L32+L33+L34+L35+L36+L37+L38+L39+L40+L41+L42+L43+L44+L45+L46+L47+L48+L49+L50</f>
        <v>11431747.389999997</v>
      </c>
      <c r="M53" s="56"/>
      <c r="N53" s="56">
        <f>SUM(N13:N51)</f>
        <v>558809.44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s="65" customFormat="1" ht="60">
      <c r="A54" s="81">
        <v>1</v>
      </c>
      <c r="B54" s="81" t="s">
        <v>406</v>
      </c>
      <c r="C54" s="82" t="s">
        <v>433</v>
      </c>
      <c r="D54" s="81" t="s">
        <v>199</v>
      </c>
      <c r="E54" s="81" t="s">
        <v>200</v>
      </c>
      <c r="F54" s="81" t="s">
        <v>201</v>
      </c>
      <c r="G54" s="81" t="s">
        <v>78</v>
      </c>
      <c r="H54" s="83" t="s">
        <v>407</v>
      </c>
      <c r="I54" s="81" t="s">
        <v>202</v>
      </c>
      <c r="J54" s="84">
        <v>300000</v>
      </c>
      <c r="K54" s="84" t="s">
        <v>203</v>
      </c>
      <c r="L54" s="85">
        <v>166137</v>
      </c>
      <c r="M54" s="81" t="s">
        <v>202</v>
      </c>
      <c r="N54" s="85">
        <v>166137</v>
      </c>
      <c r="O54" s="84" t="s">
        <v>203</v>
      </c>
      <c r="P54" s="81" t="s">
        <v>408</v>
      </c>
      <c r="Q54" s="81" t="s">
        <v>204</v>
      </c>
      <c r="R54" s="81" t="s">
        <v>205</v>
      </c>
      <c r="S54" s="81"/>
      <c r="T54" s="81" t="s">
        <v>99</v>
      </c>
      <c r="U54" s="81">
        <v>101003</v>
      </c>
      <c r="V54" s="81" t="s">
        <v>206</v>
      </c>
      <c r="W54" s="86">
        <v>90000916032</v>
      </c>
      <c r="X54" s="81" t="s">
        <v>207</v>
      </c>
      <c r="Y54" s="110" t="s">
        <v>85</v>
      </c>
    </row>
    <row r="55" spans="1:25" s="65" customFormat="1" ht="60">
      <c r="A55" s="110">
        <v>2</v>
      </c>
      <c r="B55" s="110" t="s">
        <v>121</v>
      </c>
      <c r="C55" s="110" t="s">
        <v>434</v>
      </c>
      <c r="D55" s="110" t="s">
        <v>123</v>
      </c>
      <c r="E55" s="110" t="s">
        <v>208</v>
      </c>
      <c r="F55" s="110" t="s">
        <v>105</v>
      </c>
      <c r="G55" s="110" t="s">
        <v>78</v>
      </c>
      <c r="H55" s="58">
        <v>1751591.5</v>
      </c>
      <c r="I55" s="110" t="s">
        <v>125</v>
      </c>
      <c r="J55" s="58">
        <v>0</v>
      </c>
      <c r="K55" s="110" t="s">
        <v>132</v>
      </c>
      <c r="L55" s="45">
        <f>1438971.5+N55</f>
        <v>1438971.5</v>
      </c>
      <c r="M55" s="110" t="s">
        <v>132</v>
      </c>
      <c r="N55" s="151">
        <v>0</v>
      </c>
      <c r="O55" s="110" t="s">
        <v>132</v>
      </c>
      <c r="P55" s="110"/>
      <c r="Q55" s="110" t="s">
        <v>209</v>
      </c>
      <c r="R55" s="110" t="s">
        <v>210</v>
      </c>
      <c r="S55" s="110">
        <v>105010</v>
      </c>
      <c r="T55" s="110" t="s">
        <v>130</v>
      </c>
      <c r="U55" s="110" t="s">
        <v>211</v>
      </c>
      <c r="V55" s="110" t="s">
        <v>111</v>
      </c>
      <c r="W55" s="110"/>
      <c r="X55" s="110" t="s">
        <v>209</v>
      </c>
      <c r="Y55" s="110" t="s">
        <v>95</v>
      </c>
    </row>
    <row r="56" spans="1:25" s="89" customFormat="1" ht="60.75" customHeight="1">
      <c r="A56" s="124">
        <v>3</v>
      </c>
      <c r="B56" s="125" t="s">
        <v>212</v>
      </c>
      <c r="C56" s="125" t="s">
        <v>238</v>
      </c>
      <c r="D56" s="125" t="s">
        <v>213</v>
      </c>
      <c r="E56" s="125" t="s">
        <v>214</v>
      </c>
      <c r="F56" s="125" t="s">
        <v>198</v>
      </c>
      <c r="G56" s="125" t="s">
        <v>78</v>
      </c>
      <c r="H56" s="87">
        <v>3893375</v>
      </c>
      <c r="I56" s="110"/>
      <c r="J56" s="152">
        <f>SUM(J57:J68)</f>
        <v>112887</v>
      </c>
      <c r="K56" s="113"/>
      <c r="L56" s="88">
        <f>L57</f>
        <v>1211298029</v>
      </c>
      <c r="M56" s="113"/>
      <c r="N56" s="88">
        <v>0</v>
      </c>
      <c r="O56" s="113"/>
      <c r="P56" s="124" t="s">
        <v>410</v>
      </c>
      <c r="Q56" s="124" t="s">
        <v>215</v>
      </c>
      <c r="R56" s="124" t="s">
        <v>216</v>
      </c>
      <c r="S56" s="124">
        <v>5010306</v>
      </c>
      <c r="T56" s="124" t="s">
        <v>159</v>
      </c>
      <c r="U56" s="124">
        <v>104002</v>
      </c>
      <c r="V56" s="124" t="s">
        <v>111</v>
      </c>
      <c r="W56" s="126" t="s">
        <v>217</v>
      </c>
      <c r="X56" s="127" t="s">
        <v>218</v>
      </c>
      <c r="Y56" s="124" t="s">
        <v>219</v>
      </c>
    </row>
    <row r="57" spans="1:25" s="89" customFormat="1" ht="24">
      <c r="A57" s="124"/>
      <c r="B57" s="125"/>
      <c r="C57" s="125"/>
      <c r="D57" s="125"/>
      <c r="E57" s="125"/>
      <c r="F57" s="125"/>
      <c r="G57" s="125"/>
      <c r="H57" s="87">
        <v>882301</v>
      </c>
      <c r="I57" s="110" t="s">
        <v>220</v>
      </c>
      <c r="J57" s="153">
        <v>64713</v>
      </c>
      <c r="K57" s="113" t="s">
        <v>220</v>
      </c>
      <c r="L57" s="129">
        <f>309439259+0+267755244+634103526</f>
        <v>1211298029</v>
      </c>
      <c r="M57" s="113" t="s">
        <v>220</v>
      </c>
      <c r="N57" s="129">
        <v>0</v>
      </c>
      <c r="O57" s="113" t="s">
        <v>220</v>
      </c>
      <c r="P57" s="124"/>
      <c r="Q57" s="124"/>
      <c r="R57" s="124"/>
      <c r="S57" s="124"/>
      <c r="T57" s="124"/>
      <c r="U57" s="124"/>
      <c r="V57" s="124"/>
      <c r="W57" s="124"/>
      <c r="X57" s="127"/>
      <c r="Y57" s="124"/>
    </row>
    <row r="58" spans="1:25" s="89" customFormat="1" ht="24">
      <c r="A58" s="124"/>
      <c r="B58" s="125"/>
      <c r="C58" s="125"/>
      <c r="D58" s="125"/>
      <c r="E58" s="125"/>
      <c r="F58" s="125"/>
      <c r="G58" s="125"/>
      <c r="H58" s="87">
        <v>796</v>
      </c>
      <c r="I58" s="110" t="s">
        <v>221</v>
      </c>
      <c r="J58" s="153">
        <v>0</v>
      </c>
      <c r="K58" s="113" t="s">
        <v>221</v>
      </c>
      <c r="L58" s="129"/>
      <c r="M58" s="113" t="s">
        <v>221</v>
      </c>
      <c r="N58" s="129"/>
      <c r="O58" s="113" t="s">
        <v>221</v>
      </c>
      <c r="P58" s="124"/>
      <c r="Q58" s="124"/>
      <c r="R58" s="124"/>
      <c r="S58" s="124"/>
      <c r="T58" s="124"/>
      <c r="U58" s="124"/>
      <c r="V58" s="124"/>
      <c r="W58" s="124"/>
      <c r="X58" s="127"/>
      <c r="Y58" s="124"/>
    </row>
    <row r="59" spans="1:25" s="89" customFormat="1" ht="24">
      <c r="A59" s="124"/>
      <c r="B59" s="125"/>
      <c r="C59" s="125"/>
      <c r="D59" s="125"/>
      <c r="E59" s="125"/>
      <c r="F59" s="125"/>
      <c r="G59" s="125"/>
      <c r="H59" s="87">
        <v>28545</v>
      </c>
      <c r="I59" s="110" t="s">
        <v>222</v>
      </c>
      <c r="J59" s="153">
        <v>1000</v>
      </c>
      <c r="K59" s="113" t="s">
        <v>222</v>
      </c>
      <c r="L59" s="129"/>
      <c r="M59" s="113" t="s">
        <v>222</v>
      </c>
      <c r="N59" s="129"/>
      <c r="O59" s="113" t="s">
        <v>222</v>
      </c>
      <c r="P59" s="124"/>
      <c r="Q59" s="124"/>
      <c r="R59" s="124"/>
      <c r="S59" s="124"/>
      <c r="T59" s="124"/>
      <c r="U59" s="124"/>
      <c r="V59" s="124"/>
      <c r="W59" s="124"/>
      <c r="X59" s="127"/>
      <c r="Y59" s="124"/>
    </row>
    <row r="60" spans="1:25" s="89" customFormat="1" ht="36">
      <c r="A60" s="124"/>
      <c r="B60" s="125"/>
      <c r="C60" s="125"/>
      <c r="D60" s="125"/>
      <c r="E60" s="125"/>
      <c r="F60" s="125"/>
      <c r="G60" s="125"/>
      <c r="H60" s="87">
        <v>1555367</v>
      </c>
      <c r="I60" s="110" t="s">
        <v>223</v>
      </c>
      <c r="J60" s="153">
        <v>0</v>
      </c>
      <c r="K60" s="113" t="s">
        <v>223</v>
      </c>
      <c r="L60" s="129"/>
      <c r="M60" s="113" t="s">
        <v>223</v>
      </c>
      <c r="N60" s="129"/>
      <c r="O60" s="113" t="s">
        <v>223</v>
      </c>
      <c r="P60" s="124"/>
      <c r="Q60" s="124"/>
      <c r="R60" s="124"/>
      <c r="S60" s="124"/>
      <c r="T60" s="124"/>
      <c r="U60" s="124"/>
      <c r="V60" s="124"/>
      <c r="W60" s="124"/>
      <c r="X60" s="127"/>
      <c r="Y60" s="124"/>
    </row>
    <row r="61" spans="1:25" s="89" customFormat="1" ht="36">
      <c r="A61" s="124"/>
      <c r="B61" s="125"/>
      <c r="C61" s="125"/>
      <c r="D61" s="125"/>
      <c r="E61" s="125"/>
      <c r="F61" s="125"/>
      <c r="G61" s="125"/>
      <c r="H61" s="87">
        <v>989661</v>
      </c>
      <c r="I61" s="110" t="s">
        <v>224</v>
      </c>
      <c r="J61" s="153">
        <v>38833</v>
      </c>
      <c r="K61" s="113" t="s">
        <v>224</v>
      </c>
      <c r="L61" s="129"/>
      <c r="M61" s="113" t="s">
        <v>224</v>
      </c>
      <c r="N61" s="129"/>
      <c r="O61" s="113" t="s">
        <v>224</v>
      </c>
      <c r="P61" s="124"/>
      <c r="Q61" s="124"/>
      <c r="R61" s="124"/>
      <c r="S61" s="124"/>
      <c r="T61" s="124"/>
      <c r="U61" s="124"/>
      <c r="V61" s="124"/>
      <c r="W61" s="124"/>
      <c r="X61" s="127"/>
      <c r="Y61" s="124"/>
    </row>
    <row r="62" spans="1:25" s="89" customFormat="1" ht="48">
      <c r="A62" s="124"/>
      <c r="B62" s="125"/>
      <c r="C62" s="125"/>
      <c r="D62" s="125"/>
      <c r="E62" s="125"/>
      <c r="F62" s="125"/>
      <c r="G62" s="125"/>
      <c r="H62" s="87">
        <v>114052</v>
      </c>
      <c r="I62" s="110" t="s">
        <v>225</v>
      </c>
      <c r="J62" s="153">
        <v>0</v>
      </c>
      <c r="K62" s="113" t="s">
        <v>225</v>
      </c>
      <c r="L62" s="129"/>
      <c r="M62" s="113" t="s">
        <v>225</v>
      </c>
      <c r="N62" s="129"/>
      <c r="O62" s="113" t="s">
        <v>225</v>
      </c>
      <c r="P62" s="124"/>
      <c r="Q62" s="124"/>
      <c r="R62" s="124"/>
      <c r="S62" s="124"/>
      <c r="T62" s="124"/>
      <c r="U62" s="124"/>
      <c r="V62" s="124"/>
      <c r="W62" s="124"/>
      <c r="X62" s="127"/>
      <c r="Y62" s="124"/>
    </row>
    <row r="63" spans="1:25" s="89" customFormat="1" ht="48">
      <c r="A63" s="124"/>
      <c r="B63" s="125"/>
      <c r="C63" s="125"/>
      <c r="D63" s="125"/>
      <c r="E63" s="125"/>
      <c r="F63" s="125"/>
      <c r="G63" s="125"/>
      <c r="H63" s="87">
        <v>96859</v>
      </c>
      <c r="I63" s="110" t="s">
        <v>226</v>
      </c>
      <c r="J63" s="153">
        <v>2832</v>
      </c>
      <c r="K63" s="112" t="s">
        <v>226</v>
      </c>
      <c r="L63" s="129"/>
      <c r="M63" s="112" t="s">
        <v>226</v>
      </c>
      <c r="N63" s="129"/>
      <c r="O63" s="112" t="s">
        <v>226</v>
      </c>
      <c r="P63" s="124"/>
      <c r="Q63" s="124"/>
      <c r="R63" s="124"/>
      <c r="S63" s="124"/>
      <c r="T63" s="124"/>
      <c r="U63" s="124"/>
      <c r="V63" s="124"/>
      <c r="W63" s="124"/>
      <c r="X63" s="127"/>
      <c r="Y63" s="124"/>
    </row>
    <row r="64" spans="1:25" s="89" customFormat="1" ht="24">
      <c r="A64" s="124"/>
      <c r="B64" s="125"/>
      <c r="C64" s="125"/>
      <c r="D64" s="125"/>
      <c r="E64" s="125"/>
      <c r="F64" s="125"/>
      <c r="G64" s="125"/>
      <c r="H64" s="87">
        <v>1620</v>
      </c>
      <c r="I64" s="110" t="s">
        <v>227</v>
      </c>
      <c r="J64" s="153">
        <v>60</v>
      </c>
      <c r="K64" s="112" t="s">
        <v>227</v>
      </c>
      <c r="L64" s="129"/>
      <c r="M64" s="112" t="s">
        <v>227</v>
      </c>
      <c r="N64" s="129"/>
      <c r="O64" s="112" t="s">
        <v>227</v>
      </c>
      <c r="P64" s="124"/>
      <c r="Q64" s="124"/>
      <c r="R64" s="124"/>
      <c r="S64" s="124"/>
      <c r="T64" s="124"/>
      <c r="U64" s="124"/>
      <c r="V64" s="124"/>
      <c r="W64" s="124"/>
      <c r="X64" s="127"/>
      <c r="Y64" s="124"/>
    </row>
    <row r="65" spans="1:25" s="89" customFormat="1" ht="24">
      <c r="A65" s="124"/>
      <c r="B65" s="125"/>
      <c r="C65" s="125"/>
      <c r="D65" s="125"/>
      <c r="E65" s="125"/>
      <c r="F65" s="125"/>
      <c r="G65" s="125"/>
      <c r="H65" s="87">
        <v>153200</v>
      </c>
      <c r="I65" s="110" t="s">
        <v>228</v>
      </c>
      <c r="J65" s="153">
        <v>1268</v>
      </c>
      <c r="K65" s="112" t="s">
        <v>228</v>
      </c>
      <c r="L65" s="129"/>
      <c r="M65" s="112" t="s">
        <v>228</v>
      </c>
      <c r="N65" s="129"/>
      <c r="O65" s="112" t="s">
        <v>228</v>
      </c>
      <c r="P65" s="124"/>
      <c r="Q65" s="124"/>
      <c r="R65" s="124"/>
      <c r="S65" s="124"/>
      <c r="T65" s="124"/>
      <c r="U65" s="124"/>
      <c r="V65" s="124"/>
      <c r="W65" s="124"/>
      <c r="X65" s="127"/>
      <c r="Y65" s="124"/>
    </row>
    <row r="66" spans="1:25" s="89" customFormat="1" ht="24">
      <c r="A66" s="124"/>
      <c r="B66" s="125"/>
      <c r="C66" s="125"/>
      <c r="D66" s="125"/>
      <c r="E66" s="125"/>
      <c r="F66" s="125"/>
      <c r="G66" s="125"/>
      <c r="H66" s="87">
        <v>0</v>
      </c>
      <c r="I66" s="110" t="s">
        <v>229</v>
      </c>
      <c r="J66" s="153">
        <v>0</v>
      </c>
      <c r="K66" s="112" t="s">
        <v>229</v>
      </c>
      <c r="L66" s="129"/>
      <c r="M66" s="112" t="s">
        <v>229</v>
      </c>
      <c r="N66" s="129"/>
      <c r="O66" s="112" t="s">
        <v>229</v>
      </c>
      <c r="P66" s="124"/>
      <c r="Q66" s="124"/>
      <c r="R66" s="124"/>
      <c r="S66" s="124"/>
      <c r="T66" s="124"/>
      <c r="U66" s="124"/>
      <c r="V66" s="124"/>
      <c r="W66" s="124"/>
      <c r="X66" s="127"/>
      <c r="Y66" s="124"/>
    </row>
    <row r="67" spans="1:25" s="89" customFormat="1" ht="48">
      <c r="A67" s="124"/>
      <c r="B67" s="125"/>
      <c r="C67" s="125"/>
      <c r="D67" s="125"/>
      <c r="E67" s="125"/>
      <c r="F67" s="125"/>
      <c r="G67" s="125"/>
      <c r="H67" s="87">
        <v>26808</v>
      </c>
      <c r="I67" s="110" t="s">
        <v>230</v>
      </c>
      <c r="J67" s="153">
        <v>650</v>
      </c>
      <c r="K67" s="112" t="s">
        <v>230</v>
      </c>
      <c r="L67" s="129"/>
      <c r="M67" s="112" t="s">
        <v>230</v>
      </c>
      <c r="N67" s="129"/>
      <c r="O67" s="112" t="s">
        <v>230</v>
      </c>
      <c r="P67" s="124"/>
      <c r="Q67" s="124"/>
      <c r="R67" s="124"/>
      <c r="S67" s="124"/>
      <c r="T67" s="124"/>
      <c r="U67" s="124"/>
      <c r="V67" s="124"/>
      <c r="W67" s="124"/>
      <c r="X67" s="127"/>
      <c r="Y67" s="124"/>
    </row>
    <row r="68" spans="1:25" s="89" customFormat="1" ht="12.75">
      <c r="A68" s="124"/>
      <c r="B68" s="125"/>
      <c r="C68" s="125"/>
      <c r="D68" s="125"/>
      <c r="E68" s="125"/>
      <c r="F68" s="125"/>
      <c r="G68" s="125"/>
      <c r="H68" s="87">
        <v>44166</v>
      </c>
      <c r="I68" s="110" t="s">
        <v>231</v>
      </c>
      <c r="J68" s="153">
        <v>3531</v>
      </c>
      <c r="K68" s="112" t="s">
        <v>231</v>
      </c>
      <c r="L68" s="129"/>
      <c r="M68" s="112" t="s">
        <v>231</v>
      </c>
      <c r="N68" s="129"/>
      <c r="O68" s="112" t="s">
        <v>231</v>
      </c>
      <c r="P68" s="124"/>
      <c r="Q68" s="124"/>
      <c r="R68" s="124"/>
      <c r="S68" s="124"/>
      <c r="T68" s="124"/>
      <c r="U68" s="124"/>
      <c r="V68" s="124"/>
      <c r="W68" s="124"/>
      <c r="X68" s="127"/>
      <c r="Y68" s="124"/>
    </row>
    <row r="69" spans="1:25" ht="12.75" customHeight="1">
      <c r="A69" s="124">
        <v>4</v>
      </c>
      <c r="B69" s="125" t="s">
        <v>232</v>
      </c>
      <c r="C69" s="125" t="s">
        <v>233</v>
      </c>
      <c r="D69" s="125" t="s">
        <v>213</v>
      </c>
      <c r="E69" s="125" t="s">
        <v>234</v>
      </c>
      <c r="F69" s="125" t="s">
        <v>198</v>
      </c>
      <c r="G69" s="125" t="s">
        <v>78</v>
      </c>
      <c r="H69" s="87">
        <v>7911012</v>
      </c>
      <c r="I69" s="110"/>
      <c r="J69" s="87">
        <f>SUM(J70:J81)</f>
        <v>516072</v>
      </c>
      <c r="K69" s="113"/>
      <c r="L69" s="88">
        <v>1782173454</v>
      </c>
      <c r="M69" s="113"/>
      <c r="N69" s="88">
        <f>N70</f>
        <v>0</v>
      </c>
      <c r="O69" s="113"/>
      <c r="P69" s="124" t="s">
        <v>411</v>
      </c>
      <c r="Q69" s="124" t="s">
        <v>215</v>
      </c>
      <c r="R69" s="124" t="s">
        <v>216</v>
      </c>
      <c r="S69" s="124">
        <v>5010306</v>
      </c>
      <c r="T69" s="124" t="s">
        <v>159</v>
      </c>
      <c r="U69" s="124">
        <v>104002</v>
      </c>
      <c r="V69" s="124" t="s">
        <v>111</v>
      </c>
      <c r="W69" s="126" t="s">
        <v>235</v>
      </c>
      <c r="X69" s="127" t="s">
        <v>218</v>
      </c>
      <c r="Y69" s="124" t="s">
        <v>236</v>
      </c>
    </row>
    <row r="70" spans="1:25" ht="24">
      <c r="A70" s="124"/>
      <c r="B70" s="125"/>
      <c r="C70" s="125"/>
      <c r="D70" s="125"/>
      <c r="E70" s="125"/>
      <c r="F70" s="125"/>
      <c r="G70" s="125"/>
      <c r="H70" s="87">
        <v>674858</v>
      </c>
      <c r="I70" s="110" t="s">
        <v>220</v>
      </c>
      <c r="J70" s="87">
        <v>61137</v>
      </c>
      <c r="K70" s="113" t="s">
        <v>220</v>
      </c>
      <c r="L70" s="129">
        <f>1782173454+463064156</f>
        <v>2245237610</v>
      </c>
      <c r="M70" s="113" t="s">
        <v>220</v>
      </c>
      <c r="N70" s="130">
        <v>0</v>
      </c>
      <c r="O70" s="113" t="s">
        <v>220</v>
      </c>
      <c r="P70" s="124"/>
      <c r="Q70" s="124"/>
      <c r="R70" s="124"/>
      <c r="S70" s="124"/>
      <c r="T70" s="124"/>
      <c r="U70" s="124"/>
      <c r="V70" s="124"/>
      <c r="W70" s="124"/>
      <c r="X70" s="127"/>
      <c r="Y70" s="124"/>
    </row>
    <row r="71" spans="1:25" ht="24">
      <c r="A71" s="124"/>
      <c r="B71" s="125"/>
      <c r="C71" s="125"/>
      <c r="D71" s="125"/>
      <c r="E71" s="125"/>
      <c r="F71" s="125"/>
      <c r="G71" s="125"/>
      <c r="H71" s="87">
        <v>157165</v>
      </c>
      <c r="I71" s="110" t="s">
        <v>221</v>
      </c>
      <c r="J71" s="87">
        <v>1800</v>
      </c>
      <c r="K71" s="113" t="s">
        <v>221</v>
      </c>
      <c r="L71" s="129"/>
      <c r="M71" s="113" t="s">
        <v>221</v>
      </c>
      <c r="N71" s="130"/>
      <c r="O71" s="113" t="s">
        <v>221</v>
      </c>
      <c r="P71" s="124"/>
      <c r="Q71" s="124"/>
      <c r="R71" s="124"/>
      <c r="S71" s="124"/>
      <c r="T71" s="124"/>
      <c r="U71" s="124"/>
      <c r="V71" s="124"/>
      <c r="W71" s="124"/>
      <c r="X71" s="127"/>
      <c r="Y71" s="124"/>
    </row>
    <row r="72" spans="1:25" ht="24">
      <c r="A72" s="124"/>
      <c r="B72" s="125"/>
      <c r="C72" s="125"/>
      <c r="D72" s="125"/>
      <c r="E72" s="125"/>
      <c r="F72" s="125"/>
      <c r="G72" s="125"/>
      <c r="H72" s="87">
        <v>322003</v>
      </c>
      <c r="I72" s="110" t="s">
        <v>222</v>
      </c>
      <c r="J72" s="87">
        <v>22480</v>
      </c>
      <c r="K72" s="113" t="s">
        <v>222</v>
      </c>
      <c r="L72" s="129"/>
      <c r="M72" s="113" t="s">
        <v>222</v>
      </c>
      <c r="N72" s="130"/>
      <c r="O72" s="113" t="s">
        <v>222</v>
      </c>
      <c r="P72" s="124"/>
      <c r="Q72" s="124"/>
      <c r="R72" s="124"/>
      <c r="S72" s="124"/>
      <c r="T72" s="124"/>
      <c r="U72" s="124"/>
      <c r="V72" s="124"/>
      <c r="W72" s="124"/>
      <c r="X72" s="127"/>
      <c r="Y72" s="124"/>
    </row>
    <row r="73" spans="1:25" ht="36">
      <c r="A73" s="124"/>
      <c r="B73" s="125"/>
      <c r="C73" s="125"/>
      <c r="D73" s="125"/>
      <c r="E73" s="125"/>
      <c r="F73" s="125"/>
      <c r="G73" s="125"/>
      <c r="H73" s="87">
        <v>1133693</v>
      </c>
      <c r="I73" s="110" t="s">
        <v>223</v>
      </c>
      <c r="J73" s="87">
        <v>176119</v>
      </c>
      <c r="K73" s="113" t="s">
        <v>223</v>
      </c>
      <c r="L73" s="129"/>
      <c r="M73" s="113" t="s">
        <v>223</v>
      </c>
      <c r="N73" s="130"/>
      <c r="O73" s="113" t="s">
        <v>223</v>
      </c>
      <c r="P73" s="124"/>
      <c r="Q73" s="124"/>
      <c r="R73" s="124"/>
      <c r="S73" s="124"/>
      <c r="T73" s="124"/>
      <c r="U73" s="124"/>
      <c r="V73" s="124"/>
      <c r="W73" s="124"/>
      <c r="X73" s="127"/>
      <c r="Y73" s="124"/>
    </row>
    <row r="74" spans="1:25" ht="36">
      <c r="A74" s="124"/>
      <c r="B74" s="125"/>
      <c r="C74" s="125"/>
      <c r="D74" s="125"/>
      <c r="E74" s="125"/>
      <c r="F74" s="125"/>
      <c r="G74" s="125"/>
      <c r="H74" s="87">
        <v>2269487</v>
      </c>
      <c r="I74" s="110" t="s">
        <v>224</v>
      </c>
      <c r="J74" s="87">
        <v>32025</v>
      </c>
      <c r="K74" s="113" t="s">
        <v>224</v>
      </c>
      <c r="L74" s="129"/>
      <c r="M74" s="113" t="s">
        <v>224</v>
      </c>
      <c r="N74" s="130"/>
      <c r="O74" s="113" t="s">
        <v>224</v>
      </c>
      <c r="P74" s="124"/>
      <c r="Q74" s="124"/>
      <c r="R74" s="124"/>
      <c r="S74" s="124"/>
      <c r="T74" s="124"/>
      <c r="U74" s="124"/>
      <c r="V74" s="124"/>
      <c r="W74" s="124"/>
      <c r="X74" s="127"/>
      <c r="Y74" s="124"/>
    </row>
    <row r="75" spans="1:25" ht="48">
      <c r="A75" s="124"/>
      <c r="B75" s="125"/>
      <c r="C75" s="125"/>
      <c r="D75" s="125"/>
      <c r="E75" s="125"/>
      <c r="F75" s="125"/>
      <c r="G75" s="125"/>
      <c r="H75" s="87">
        <v>467041</v>
      </c>
      <c r="I75" s="110" t="s">
        <v>225</v>
      </c>
      <c r="J75" s="87">
        <v>25427</v>
      </c>
      <c r="K75" s="113" t="s">
        <v>225</v>
      </c>
      <c r="L75" s="129"/>
      <c r="M75" s="113" t="s">
        <v>225</v>
      </c>
      <c r="N75" s="130"/>
      <c r="O75" s="113" t="s">
        <v>225</v>
      </c>
      <c r="P75" s="124"/>
      <c r="Q75" s="124"/>
      <c r="R75" s="124"/>
      <c r="S75" s="124"/>
      <c r="T75" s="124"/>
      <c r="U75" s="124"/>
      <c r="V75" s="124"/>
      <c r="W75" s="124"/>
      <c r="X75" s="127"/>
      <c r="Y75" s="124"/>
    </row>
    <row r="76" spans="1:25" ht="48">
      <c r="A76" s="124"/>
      <c r="B76" s="125"/>
      <c r="C76" s="125"/>
      <c r="D76" s="125"/>
      <c r="E76" s="125"/>
      <c r="F76" s="125"/>
      <c r="G76" s="125"/>
      <c r="H76" s="87">
        <v>543069</v>
      </c>
      <c r="I76" s="110" t="s">
        <v>226</v>
      </c>
      <c r="J76" s="87">
        <v>8865</v>
      </c>
      <c r="K76" s="112" t="s">
        <v>226</v>
      </c>
      <c r="L76" s="129"/>
      <c r="M76" s="112" t="s">
        <v>226</v>
      </c>
      <c r="N76" s="130"/>
      <c r="O76" s="112" t="s">
        <v>226</v>
      </c>
      <c r="P76" s="124"/>
      <c r="Q76" s="124"/>
      <c r="R76" s="124"/>
      <c r="S76" s="124"/>
      <c r="T76" s="124"/>
      <c r="U76" s="124"/>
      <c r="V76" s="124"/>
      <c r="W76" s="124"/>
      <c r="X76" s="127"/>
      <c r="Y76" s="124"/>
    </row>
    <row r="77" spans="1:25" ht="24">
      <c r="A77" s="124"/>
      <c r="B77" s="125"/>
      <c r="C77" s="125"/>
      <c r="D77" s="125"/>
      <c r="E77" s="125"/>
      <c r="F77" s="125"/>
      <c r="G77" s="125"/>
      <c r="H77" s="87">
        <v>99500</v>
      </c>
      <c r="I77" s="110" t="s">
        <v>227</v>
      </c>
      <c r="J77" s="87">
        <v>16000</v>
      </c>
      <c r="K77" s="112" t="s">
        <v>227</v>
      </c>
      <c r="L77" s="129"/>
      <c r="M77" s="112" t="s">
        <v>227</v>
      </c>
      <c r="N77" s="130"/>
      <c r="O77" s="112" t="s">
        <v>227</v>
      </c>
      <c r="P77" s="124"/>
      <c r="Q77" s="124"/>
      <c r="R77" s="124"/>
      <c r="S77" s="124"/>
      <c r="T77" s="124"/>
      <c r="U77" s="124"/>
      <c r="V77" s="124"/>
      <c r="W77" s="124"/>
      <c r="X77" s="127"/>
      <c r="Y77" s="124"/>
    </row>
    <row r="78" spans="1:25" ht="24">
      <c r="A78" s="124"/>
      <c r="B78" s="125"/>
      <c r="C78" s="125"/>
      <c r="D78" s="125"/>
      <c r="E78" s="125"/>
      <c r="F78" s="125"/>
      <c r="G78" s="125"/>
      <c r="H78" s="87">
        <v>133170</v>
      </c>
      <c r="I78" s="110" t="s">
        <v>228</v>
      </c>
      <c r="J78" s="87">
        <v>5410</v>
      </c>
      <c r="K78" s="112" t="s">
        <v>228</v>
      </c>
      <c r="L78" s="129"/>
      <c r="M78" s="112" t="s">
        <v>228</v>
      </c>
      <c r="N78" s="130"/>
      <c r="O78" s="112" t="s">
        <v>228</v>
      </c>
      <c r="P78" s="124"/>
      <c r="Q78" s="124"/>
      <c r="R78" s="124"/>
      <c r="S78" s="124"/>
      <c r="T78" s="124"/>
      <c r="U78" s="124"/>
      <c r="V78" s="124"/>
      <c r="W78" s="124"/>
      <c r="X78" s="127"/>
      <c r="Y78" s="124"/>
    </row>
    <row r="79" spans="1:25" ht="24">
      <c r="A79" s="124"/>
      <c r="B79" s="125"/>
      <c r="C79" s="125"/>
      <c r="D79" s="125"/>
      <c r="E79" s="125"/>
      <c r="F79" s="125"/>
      <c r="G79" s="125"/>
      <c r="H79" s="87">
        <v>1881274</v>
      </c>
      <c r="I79" s="110" t="s">
        <v>229</v>
      </c>
      <c r="J79" s="87">
        <v>155964</v>
      </c>
      <c r="K79" s="112" t="s">
        <v>229</v>
      </c>
      <c r="L79" s="129"/>
      <c r="M79" s="112" t="s">
        <v>229</v>
      </c>
      <c r="N79" s="130"/>
      <c r="O79" s="112" t="s">
        <v>229</v>
      </c>
      <c r="P79" s="124"/>
      <c r="Q79" s="124"/>
      <c r="R79" s="124"/>
      <c r="S79" s="124"/>
      <c r="T79" s="124"/>
      <c r="U79" s="124"/>
      <c r="V79" s="124"/>
      <c r="W79" s="124"/>
      <c r="X79" s="127"/>
      <c r="Y79" s="124"/>
    </row>
    <row r="80" spans="1:25" ht="48">
      <c r="A80" s="124"/>
      <c r="B80" s="125"/>
      <c r="C80" s="125"/>
      <c r="D80" s="125"/>
      <c r="E80" s="125"/>
      <c r="F80" s="125"/>
      <c r="G80" s="125"/>
      <c r="H80" s="87">
        <v>171543</v>
      </c>
      <c r="I80" s="110" t="s">
        <v>230</v>
      </c>
      <c r="J80" s="87">
        <v>8874</v>
      </c>
      <c r="K80" s="112" t="s">
        <v>230</v>
      </c>
      <c r="L80" s="129"/>
      <c r="M80" s="112" t="s">
        <v>230</v>
      </c>
      <c r="N80" s="130"/>
      <c r="O80" s="112" t="s">
        <v>230</v>
      </c>
      <c r="P80" s="124"/>
      <c r="Q80" s="124"/>
      <c r="R80" s="124"/>
      <c r="S80" s="124"/>
      <c r="T80" s="124"/>
      <c r="U80" s="124"/>
      <c r="V80" s="124"/>
      <c r="W80" s="124"/>
      <c r="X80" s="127"/>
      <c r="Y80" s="124"/>
    </row>
    <row r="81" spans="1:25" ht="12">
      <c r="A81" s="124"/>
      <c r="B81" s="125"/>
      <c r="C81" s="125"/>
      <c r="D81" s="125"/>
      <c r="E81" s="125"/>
      <c r="F81" s="125"/>
      <c r="G81" s="125"/>
      <c r="H81" s="87">
        <v>58209</v>
      </c>
      <c r="I81" s="110" t="s">
        <v>231</v>
      </c>
      <c r="J81" s="87">
        <v>1971</v>
      </c>
      <c r="K81" s="112" t="s">
        <v>231</v>
      </c>
      <c r="L81" s="129"/>
      <c r="M81" s="112" t="s">
        <v>231</v>
      </c>
      <c r="N81" s="130"/>
      <c r="O81" s="112" t="s">
        <v>231</v>
      </c>
      <c r="P81" s="124"/>
      <c r="Q81" s="124"/>
      <c r="R81" s="124"/>
      <c r="S81" s="124"/>
      <c r="T81" s="124"/>
      <c r="U81" s="124"/>
      <c r="V81" s="124"/>
      <c r="W81" s="124"/>
      <c r="X81" s="127"/>
      <c r="Y81" s="124"/>
    </row>
    <row r="82" spans="1:25" ht="13.5" customHeight="1">
      <c r="A82" s="124">
        <v>5</v>
      </c>
      <c r="B82" s="124" t="s">
        <v>237</v>
      </c>
      <c r="C82" s="124" t="s">
        <v>238</v>
      </c>
      <c r="D82" s="124" t="s">
        <v>213</v>
      </c>
      <c r="E82" s="124" t="s">
        <v>239</v>
      </c>
      <c r="F82" s="124" t="s">
        <v>198</v>
      </c>
      <c r="G82" s="124" t="s">
        <v>78</v>
      </c>
      <c r="H82" s="87">
        <f>H83+H84+H85+H86+H87+H88+H89+H90+H91+H92+H93+H94</f>
        <v>700174</v>
      </c>
      <c r="I82" s="110"/>
      <c r="J82" s="87">
        <f>J83+J84+J85+J86+J87+J88+J89+J90+J91+J92+J93+J94</f>
        <v>14115</v>
      </c>
      <c r="K82" s="90"/>
      <c r="L82" s="88">
        <f>L83+L84+L85+L86+L87+L88+L89+L90+L91+L92+L93+L94</f>
        <v>203062032.5</v>
      </c>
      <c r="M82" s="90"/>
      <c r="N82" s="88">
        <f>N83+N84+N85+N86+N87+N88+N89+N90+N91+N92+N93+N94</f>
        <v>25547955.2</v>
      </c>
      <c r="O82" s="90"/>
      <c r="P82" s="124" t="s">
        <v>409</v>
      </c>
      <c r="Q82" s="124" t="s">
        <v>215</v>
      </c>
      <c r="R82" s="124" t="s">
        <v>216</v>
      </c>
      <c r="S82" s="124">
        <v>5010306</v>
      </c>
      <c r="T82" s="124" t="s">
        <v>159</v>
      </c>
      <c r="U82" s="124">
        <v>104002</v>
      </c>
      <c r="V82" s="124" t="s">
        <v>111</v>
      </c>
      <c r="W82" s="126" t="s">
        <v>240</v>
      </c>
      <c r="X82" s="127" t="s">
        <v>218</v>
      </c>
      <c r="Y82" s="124" t="s">
        <v>236</v>
      </c>
    </row>
    <row r="83" spans="1:25" ht="24">
      <c r="A83" s="124"/>
      <c r="B83" s="124"/>
      <c r="C83" s="124"/>
      <c r="D83" s="124"/>
      <c r="E83" s="124"/>
      <c r="F83" s="124"/>
      <c r="G83" s="124"/>
      <c r="H83" s="87">
        <v>239687</v>
      </c>
      <c r="I83" s="110" t="s">
        <v>220</v>
      </c>
      <c r="J83" s="87">
        <v>6972</v>
      </c>
      <c r="K83" s="113" t="s">
        <v>220</v>
      </c>
      <c r="L83" s="128">
        <f>177514077.3+25547955.2</f>
        <v>203062032.5</v>
      </c>
      <c r="M83" s="113" t="s">
        <v>220</v>
      </c>
      <c r="N83" s="128">
        <v>25547955.2</v>
      </c>
      <c r="O83" s="113" t="s">
        <v>220</v>
      </c>
      <c r="P83" s="124"/>
      <c r="Q83" s="124"/>
      <c r="R83" s="124"/>
      <c r="S83" s="124"/>
      <c r="T83" s="124"/>
      <c r="U83" s="124"/>
      <c r="V83" s="124"/>
      <c r="W83" s="124"/>
      <c r="X83" s="127"/>
      <c r="Y83" s="124"/>
    </row>
    <row r="84" spans="1:25" ht="24">
      <c r="A84" s="124"/>
      <c r="B84" s="124"/>
      <c r="C84" s="124"/>
      <c r="D84" s="124"/>
      <c r="E84" s="124"/>
      <c r="F84" s="124"/>
      <c r="G84" s="124"/>
      <c r="H84" s="87">
        <v>63576</v>
      </c>
      <c r="I84" s="110" t="s">
        <v>221</v>
      </c>
      <c r="J84" s="87">
        <v>450</v>
      </c>
      <c r="K84" s="113" t="s">
        <v>221</v>
      </c>
      <c r="L84" s="128"/>
      <c r="M84" s="113" t="s">
        <v>221</v>
      </c>
      <c r="N84" s="128"/>
      <c r="O84" s="113" t="s">
        <v>221</v>
      </c>
      <c r="P84" s="124"/>
      <c r="Q84" s="124"/>
      <c r="R84" s="124"/>
      <c r="S84" s="124"/>
      <c r="T84" s="124"/>
      <c r="U84" s="124"/>
      <c r="V84" s="124"/>
      <c r="W84" s="124"/>
      <c r="X84" s="127"/>
      <c r="Y84" s="124"/>
    </row>
    <row r="85" spans="1:25" ht="24">
      <c r="A85" s="124"/>
      <c r="B85" s="124"/>
      <c r="C85" s="124"/>
      <c r="D85" s="124"/>
      <c r="E85" s="124"/>
      <c r="F85" s="124"/>
      <c r="G85" s="124"/>
      <c r="H85" s="87">
        <v>44726</v>
      </c>
      <c r="I85" s="110" t="s">
        <v>222</v>
      </c>
      <c r="J85" s="87">
        <v>5410</v>
      </c>
      <c r="K85" s="113" t="s">
        <v>222</v>
      </c>
      <c r="L85" s="128"/>
      <c r="M85" s="113" t="s">
        <v>222</v>
      </c>
      <c r="N85" s="128"/>
      <c r="O85" s="113" t="s">
        <v>222</v>
      </c>
      <c r="P85" s="124"/>
      <c r="Q85" s="124"/>
      <c r="R85" s="124"/>
      <c r="S85" s="124"/>
      <c r="T85" s="124"/>
      <c r="U85" s="124"/>
      <c r="V85" s="124"/>
      <c r="W85" s="124"/>
      <c r="X85" s="127"/>
      <c r="Y85" s="124"/>
    </row>
    <row r="86" spans="1:25" ht="36">
      <c r="A86" s="124"/>
      <c r="B86" s="124"/>
      <c r="C86" s="124"/>
      <c r="D86" s="124"/>
      <c r="E86" s="124"/>
      <c r="F86" s="124"/>
      <c r="G86" s="124"/>
      <c r="H86" s="87">
        <v>287320</v>
      </c>
      <c r="I86" s="110" t="s">
        <v>223</v>
      </c>
      <c r="J86" s="87">
        <v>0</v>
      </c>
      <c r="K86" s="113" t="s">
        <v>223</v>
      </c>
      <c r="L86" s="128"/>
      <c r="M86" s="113" t="s">
        <v>223</v>
      </c>
      <c r="N86" s="128"/>
      <c r="O86" s="113" t="s">
        <v>223</v>
      </c>
      <c r="P86" s="124"/>
      <c r="Q86" s="124"/>
      <c r="R86" s="124"/>
      <c r="S86" s="124"/>
      <c r="T86" s="124"/>
      <c r="U86" s="124"/>
      <c r="V86" s="124"/>
      <c r="W86" s="124"/>
      <c r="X86" s="127"/>
      <c r="Y86" s="124"/>
    </row>
    <row r="87" spans="1:25" ht="36">
      <c r="A87" s="124"/>
      <c r="B87" s="124"/>
      <c r="C87" s="124"/>
      <c r="D87" s="124"/>
      <c r="E87" s="124"/>
      <c r="F87" s="124"/>
      <c r="G87" s="124"/>
      <c r="H87" s="87">
        <v>3024</v>
      </c>
      <c r="I87" s="110" t="s">
        <v>224</v>
      </c>
      <c r="J87" s="87">
        <v>0</v>
      </c>
      <c r="K87" s="113" t="s">
        <v>224</v>
      </c>
      <c r="L87" s="128"/>
      <c r="M87" s="113" t="s">
        <v>224</v>
      </c>
      <c r="N87" s="128"/>
      <c r="O87" s="113" t="s">
        <v>224</v>
      </c>
      <c r="P87" s="124"/>
      <c r="Q87" s="124"/>
      <c r="R87" s="124"/>
      <c r="S87" s="124"/>
      <c r="T87" s="124"/>
      <c r="U87" s="124"/>
      <c r="V87" s="124"/>
      <c r="W87" s="124"/>
      <c r="X87" s="127"/>
      <c r="Y87" s="124"/>
    </row>
    <row r="88" spans="1:25" ht="48">
      <c r="A88" s="124"/>
      <c r="B88" s="124"/>
      <c r="C88" s="124"/>
      <c r="D88" s="124"/>
      <c r="E88" s="124"/>
      <c r="F88" s="124"/>
      <c r="G88" s="124"/>
      <c r="H88" s="87">
        <v>4900</v>
      </c>
      <c r="I88" s="110" t="s">
        <v>225</v>
      </c>
      <c r="J88" s="87">
        <v>0</v>
      </c>
      <c r="K88" s="113" t="s">
        <v>225</v>
      </c>
      <c r="L88" s="128"/>
      <c r="M88" s="113" t="s">
        <v>225</v>
      </c>
      <c r="N88" s="128"/>
      <c r="O88" s="113" t="s">
        <v>225</v>
      </c>
      <c r="P88" s="124"/>
      <c r="Q88" s="124"/>
      <c r="R88" s="124"/>
      <c r="S88" s="124"/>
      <c r="T88" s="124"/>
      <c r="U88" s="124"/>
      <c r="V88" s="124"/>
      <c r="W88" s="124"/>
      <c r="X88" s="127"/>
      <c r="Y88" s="124"/>
    </row>
    <row r="89" spans="1:25" ht="48">
      <c r="A89" s="124"/>
      <c r="B89" s="124"/>
      <c r="C89" s="124"/>
      <c r="D89" s="124"/>
      <c r="E89" s="124"/>
      <c r="F89" s="124"/>
      <c r="G89" s="124"/>
      <c r="H89" s="87">
        <v>19793</v>
      </c>
      <c r="I89" s="110" t="s">
        <v>226</v>
      </c>
      <c r="J89" s="87">
        <v>0</v>
      </c>
      <c r="K89" s="112" t="s">
        <v>226</v>
      </c>
      <c r="L89" s="128"/>
      <c r="M89" s="112" t="s">
        <v>226</v>
      </c>
      <c r="N89" s="128"/>
      <c r="O89" s="112" t="s">
        <v>226</v>
      </c>
      <c r="P89" s="124"/>
      <c r="Q89" s="124"/>
      <c r="R89" s="124"/>
      <c r="S89" s="124"/>
      <c r="T89" s="124"/>
      <c r="U89" s="124"/>
      <c r="V89" s="124"/>
      <c r="W89" s="124"/>
      <c r="X89" s="127"/>
      <c r="Y89" s="124"/>
    </row>
    <row r="90" spans="1:25" ht="24">
      <c r="A90" s="124"/>
      <c r="B90" s="124"/>
      <c r="C90" s="124"/>
      <c r="D90" s="124"/>
      <c r="E90" s="124"/>
      <c r="F90" s="124"/>
      <c r="G90" s="124"/>
      <c r="H90" s="87">
        <v>10306</v>
      </c>
      <c r="I90" s="110" t="s">
        <v>227</v>
      </c>
      <c r="J90" s="87">
        <v>1000</v>
      </c>
      <c r="K90" s="112" t="s">
        <v>227</v>
      </c>
      <c r="L90" s="128"/>
      <c r="M90" s="112" t="s">
        <v>227</v>
      </c>
      <c r="N90" s="128"/>
      <c r="O90" s="112" t="s">
        <v>227</v>
      </c>
      <c r="P90" s="124"/>
      <c r="Q90" s="124"/>
      <c r="R90" s="124"/>
      <c r="S90" s="124"/>
      <c r="T90" s="124"/>
      <c r="U90" s="124"/>
      <c r="V90" s="124"/>
      <c r="W90" s="124"/>
      <c r="X90" s="127"/>
      <c r="Y90" s="124"/>
    </row>
    <row r="91" spans="1:25" ht="24">
      <c r="A91" s="124"/>
      <c r="B91" s="124"/>
      <c r="C91" s="124"/>
      <c r="D91" s="124"/>
      <c r="E91" s="124"/>
      <c r="F91" s="124"/>
      <c r="G91" s="124"/>
      <c r="H91" s="87">
        <v>8810</v>
      </c>
      <c r="I91" s="110" t="s">
        <v>228</v>
      </c>
      <c r="J91" s="87">
        <v>198</v>
      </c>
      <c r="K91" s="112" t="s">
        <v>228</v>
      </c>
      <c r="L91" s="128"/>
      <c r="M91" s="112" t="s">
        <v>228</v>
      </c>
      <c r="N91" s="128"/>
      <c r="O91" s="112" t="s">
        <v>228</v>
      </c>
      <c r="P91" s="124"/>
      <c r="Q91" s="124"/>
      <c r="R91" s="124"/>
      <c r="S91" s="124"/>
      <c r="T91" s="124"/>
      <c r="U91" s="124"/>
      <c r="V91" s="124"/>
      <c r="W91" s="124"/>
      <c r="X91" s="127"/>
      <c r="Y91" s="124"/>
    </row>
    <row r="92" spans="1:25" ht="24">
      <c r="A92" s="124"/>
      <c r="B92" s="124"/>
      <c r="C92" s="124"/>
      <c r="D92" s="124"/>
      <c r="E92" s="124"/>
      <c r="F92" s="124"/>
      <c r="G92" s="124"/>
      <c r="H92" s="87">
        <v>0</v>
      </c>
      <c r="I92" s="110" t="s">
        <v>229</v>
      </c>
      <c r="J92" s="87">
        <v>0</v>
      </c>
      <c r="K92" s="112" t="s">
        <v>229</v>
      </c>
      <c r="L92" s="128"/>
      <c r="M92" s="112" t="s">
        <v>229</v>
      </c>
      <c r="N92" s="128"/>
      <c r="O92" s="112" t="s">
        <v>229</v>
      </c>
      <c r="P92" s="124"/>
      <c r="Q92" s="124"/>
      <c r="R92" s="124"/>
      <c r="S92" s="124"/>
      <c r="T92" s="124"/>
      <c r="U92" s="124"/>
      <c r="V92" s="124"/>
      <c r="W92" s="124"/>
      <c r="X92" s="127"/>
      <c r="Y92" s="124"/>
    </row>
    <row r="93" spans="1:25" ht="48">
      <c r="A93" s="124"/>
      <c r="B93" s="124"/>
      <c r="C93" s="124"/>
      <c r="D93" s="124"/>
      <c r="E93" s="124"/>
      <c r="F93" s="124"/>
      <c r="G93" s="124"/>
      <c r="H93" s="87">
        <v>17632</v>
      </c>
      <c r="I93" s="110" t="s">
        <v>230</v>
      </c>
      <c r="J93" s="87">
        <v>85</v>
      </c>
      <c r="K93" s="112" t="s">
        <v>230</v>
      </c>
      <c r="L93" s="128"/>
      <c r="M93" s="112" t="s">
        <v>230</v>
      </c>
      <c r="N93" s="128"/>
      <c r="O93" s="112" t="s">
        <v>230</v>
      </c>
      <c r="P93" s="124"/>
      <c r="Q93" s="124"/>
      <c r="R93" s="124"/>
      <c r="S93" s="124"/>
      <c r="T93" s="124"/>
      <c r="U93" s="124"/>
      <c r="V93" s="124"/>
      <c r="W93" s="124"/>
      <c r="X93" s="127"/>
      <c r="Y93" s="124"/>
    </row>
    <row r="94" spans="1:25" ht="12">
      <c r="A94" s="124"/>
      <c r="B94" s="124"/>
      <c r="C94" s="124"/>
      <c r="D94" s="124"/>
      <c r="E94" s="124"/>
      <c r="F94" s="124"/>
      <c r="G94" s="124"/>
      <c r="H94" s="87">
        <v>400</v>
      </c>
      <c r="I94" s="110" t="s">
        <v>231</v>
      </c>
      <c r="J94" s="87">
        <v>0</v>
      </c>
      <c r="K94" s="112" t="s">
        <v>231</v>
      </c>
      <c r="L94" s="128"/>
      <c r="M94" s="112" t="s">
        <v>231</v>
      </c>
      <c r="N94" s="128"/>
      <c r="O94" s="112" t="s">
        <v>231</v>
      </c>
      <c r="P94" s="124"/>
      <c r="Q94" s="124"/>
      <c r="R94" s="124"/>
      <c r="S94" s="124"/>
      <c r="T94" s="124"/>
      <c r="U94" s="124"/>
      <c r="V94" s="124"/>
      <c r="W94" s="124"/>
      <c r="X94" s="127"/>
      <c r="Y94" s="124"/>
    </row>
    <row r="95" spans="1:25" ht="12">
      <c r="A95" s="124"/>
      <c r="B95" s="124"/>
      <c r="C95" s="124"/>
      <c r="D95" s="124"/>
      <c r="E95" s="124"/>
      <c r="F95" s="124"/>
      <c r="G95" s="124"/>
      <c r="H95" s="87"/>
      <c r="I95" s="110"/>
      <c r="J95" s="87"/>
      <c r="K95" s="113"/>
      <c r="L95" s="50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spans="1:25" ht="14.25" customHeight="1" hidden="1">
      <c r="A96" s="124">
        <v>6</v>
      </c>
      <c r="B96" s="110" t="s">
        <v>241</v>
      </c>
      <c r="C96" s="110" t="s">
        <v>242</v>
      </c>
      <c r="D96" s="110" t="s">
        <v>243</v>
      </c>
      <c r="E96" s="110" t="s">
        <v>244</v>
      </c>
      <c r="F96" s="110" t="s">
        <v>245</v>
      </c>
      <c r="G96" s="110" t="s">
        <v>100</v>
      </c>
      <c r="H96" s="110">
        <v>708116</v>
      </c>
      <c r="I96" s="110" t="s">
        <v>246</v>
      </c>
      <c r="J96" s="58">
        <v>0</v>
      </c>
      <c r="K96" s="113" t="s">
        <v>246</v>
      </c>
      <c r="L96" s="50">
        <v>708116</v>
      </c>
      <c r="M96" s="113" t="s">
        <v>246</v>
      </c>
      <c r="N96" s="50">
        <v>0</v>
      </c>
      <c r="O96" s="113" t="s">
        <v>246</v>
      </c>
      <c r="P96" s="124" t="s">
        <v>415</v>
      </c>
      <c r="Q96" s="124" t="s">
        <v>247</v>
      </c>
      <c r="R96" s="124" t="s">
        <v>248</v>
      </c>
      <c r="S96" s="124"/>
      <c r="T96" s="124" t="s">
        <v>245</v>
      </c>
      <c r="U96" s="124"/>
      <c r="V96" s="124"/>
      <c r="W96" s="124"/>
      <c r="X96" s="124" t="s">
        <v>249</v>
      </c>
      <c r="Y96" s="124" t="s">
        <v>95</v>
      </c>
    </row>
    <row r="97" spans="1:25" ht="53.25" customHeight="1">
      <c r="A97" s="124"/>
      <c r="B97" s="110" t="s">
        <v>413</v>
      </c>
      <c r="C97" s="110" t="s">
        <v>435</v>
      </c>
      <c r="D97" s="110" t="s">
        <v>243</v>
      </c>
      <c r="E97" s="110" t="s">
        <v>414</v>
      </c>
      <c r="F97" s="110" t="s">
        <v>245</v>
      </c>
      <c r="G97" s="110" t="s">
        <v>100</v>
      </c>
      <c r="H97" s="58">
        <v>1026980</v>
      </c>
      <c r="I97" s="110" t="s">
        <v>246</v>
      </c>
      <c r="J97" s="58">
        <v>315537</v>
      </c>
      <c r="K97" s="113" t="s">
        <v>246</v>
      </c>
      <c r="L97" s="91">
        <v>315537</v>
      </c>
      <c r="M97" s="113" t="s">
        <v>246</v>
      </c>
      <c r="N97" s="50">
        <v>315537</v>
      </c>
      <c r="O97" s="113" t="s">
        <v>246</v>
      </c>
      <c r="P97" s="124"/>
      <c r="Q97" s="124"/>
      <c r="R97" s="124"/>
      <c r="S97" s="124"/>
      <c r="T97" s="124"/>
      <c r="U97" s="124"/>
      <c r="V97" s="124"/>
      <c r="W97" s="124"/>
      <c r="X97" s="124"/>
      <c r="Y97" s="124"/>
    </row>
    <row r="98" spans="1:25" ht="14.25" customHeight="1" hidden="1">
      <c r="A98" s="124"/>
      <c r="B98" s="110" t="s">
        <v>250</v>
      </c>
      <c r="C98" s="110" t="s">
        <v>251</v>
      </c>
      <c r="D98" s="110" t="s">
        <v>243</v>
      </c>
      <c r="E98" s="110" t="s">
        <v>252</v>
      </c>
      <c r="F98" s="110" t="s">
        <v>245</v>
      </c>
      <c r="G98" s="110" t="s">
        <v>100</v>
      </c>
      <c r="H98" s="110">
        <v>709582</v>
      </c>
      <c r="I98" s="110" t="s">
        <v>246</v>
      </c>
      <c r="J98" s="58">
        <v>0</v>
      </c>
      <c r="K98" s="113" t="s">
        <v>246</v>
      </c>
      <c r="L98" s="91">
        <v>709582</v>
      </c>
      <c r="M98" s="113" t="s">
        <v>246</v>
      </c>
      <c r="N98" s="50">
        <v>0</v>
      </c>
      <c r="O98" s="113" t="s">
        <v>246</v>
      </c>
      <c r="P98" s="124" t="s">
        <v>412</v>
      </c>
      <c r="Q98" s="124"/>
      <c r="R98" s="124"/>
      <c r="S98" s="124"/>
      <c r="T98" s="124"/>
      <c r="U98" s="124"/>
      <c r="V98" s="124"/>
      <c r="W98" s="124"/>
      <c r="X98" s="124"/>
      <c r="Y98" s="124"/>
    </row>
    <row r="99" spans="1:25" ht="57.75" customHeight="1">
      <c r="A99" s="124"/>
      <c r="B99" s="110" t="s">
        <v>253</v>
      </c>
      <c r="C99" s="110" t="s">
        <v>436</v>
      </c>
      <c r="D99" s="110" t="s">
        <v>243</v>
      </c>
      <c r="E99" s="110" t="s">
        <v>254</v>
      </c>
      <c r="F99" s="110" t="s">
        <v>245</v>
      </c>
      <c r="G99" s="110" t="s">
        <v>100</v>
      </c>
      <c r="H99" s="58">
        <v>128373</v>
      </c>
      <c r="I99" s="110" t="s">
        <v>246</v>
      </c>
      <c r="J99" s="58">
        <v>5135</v>
      </c>
      <c r="K99" s="113" t="s">
        <v>246</v>
      </c>
      <c r="L99" s="67">
        <v>128373</v>
      </c>
      <c r="M99" s="113" t="s">
        <v>246</v>
      </c>
      <c r="N99" s="50">
        <v>5135</v>
      </c>
      <c r="O99" s="113" t="s">
        <v>246</v>
      </c>
      <c r="P99" s="124"/>
      <c r="Q99" s="124"/>
      <c r="R99" s="124"/>
      <c r="S99" s="124"/>
      <c r="T99" s="124"/>
      <c r="U99" s="124"/>
      <c r="V99" s="124"/>
      <c r="W99" s="124"/>
      <c r="X99" s="124"/>
      <c r="Y99" s="124"/>
    </row>
    <row r="100" spans="1:25" ht="57" customHeight="1">
      <c r="A100" s="113">
        <v>7</v>
      </c>
      <c r="B100" s="110" t="s">
        <v>255</v>
      </c>
      <c r="C100" s="110" t="s">
        <v>256</v>
      </c>
      <c r="D100" s="110" t="s">
        <v>257</v>
      </c>
      <c r="E100" s="110" t="s">
        <v>258</v>
      </c>
      <c r="F100" s="110" t="s">
        <v>198</v>
      </c>
      <c r="G100" s="110" t="s">
        <v>78</v>
      </c>
      <c r="H100" s="58">
        <v>495.2</v>
      </c>
      <c r="I100" s="110" t="s">
        <v>259</v>
      </c>
      <c r="J100" s="58" t="s">
        <v>260</v>
      </c>
      <c r="K100" s="113" t="s">
        <v>259</v>
      </c>
      <c r="L100" s="66">
        <f>39717.5+97928.3+42539.5+19903.5</f>
        <v>200088.8</v>
      </c>
      <c r="M100" s="113" t="s">
        <v>259</v>
      </c>
      <c r="N100" s="66">
        <v>19903.5</v>
      </c>
      <c r="O100" s="113" t="s">
        <v>259</v>
      </c>
      <c r="P100" s="113"/>
      <c r="Q100" s="113" t="s">
        <v>261</v>
      </c>
      <c r="R100" s="113" t="s">
        <v>216</v>
      </c>
      <c r="S100" s="113"/>
      <c r="T100" s="113" t="s">
        <v>262</v>
      </c>
      <c r="U100" s="113" t="s">
        <v>263</v>
      </c>
      <c r="V100" s="113" t="s">
        <v>83</v>
      </c>
      <c r="W100" s="113"/>
      <c r="X100" s="113"/>
      <c r="Y100" s="113"/>
    </row>
    <row r="101" spans="1:25" ht="57" customHeight="1">
      <c r="A101" s="113">
        <v>8</v>
      </c>
      <c r="B101" s="110">
        <v>401264760</v>
      </c>
      <c r="C101" s="110" t="s">
        <v>437</v>
      </c>
      <c r="D101" s="110" t="s">
        <v>416</v>
      </c>
      <c r="E101" s="110" t="s">
        <v>417</v>
      </c>
      <c r="F101" s="110" t="s">
        <v>198</v>
      </c>
      <c r="G101" s="110" t="s">
        <v>78</v>
      </c>
      <c r="H101" s="58">
        <v>100000</v>
      </c>
      <c r="I101" s="110" t="s">
        <v>418</v>
      </c>
      <c r="J101" s="58">
        <v>4061</v>
      </c>
      <c r="K101" s="110" t="s">
        <v>418</v>
      </c>
      <c r="L101" s="66">
        <v>4061</v>
      </c>
      <c r="M101" s="110" t="s">
        <v>418</v>
      </c>
      <c r="N101" s="66">
        <v>4061</v>
      </c>
      <c r="O101" s="110" t="s">
        <v>418</v>
      </c>
      <c r="P101" s="113"/>
      <c r="Q101" s="113" t="s">
        <v>419</v>
      </c>
      <c r="R101" s="113" t="s">
        <v>216</v>
      </c>
      <c r="S101" s="113">
        <v>10061</v>
      </c>
      <c r="T101" s="113" t="s">
        <v>420</v>
      </c>
      <c r="U101" s="113">
        <v>105003</v>
      </c>
      <c r="V101" s="113" t="s">
        <v>83</v>
      </c>
      <c r="W101" s="54" t="s">
        <v>438</v>
      </c>
      <c r="X101" s="113" t="s">
        <v>420</v>
      </c>
      <c r="Y101" s="113" t="s">
        <v>421</v>
      </c>
    </row>
    <row r="102" spans="1:37" s="60" customFormat="1" ht="87" customHeight="1">
      <c r="A102" s="60">
        <v>9</v>
      </c>
      <c r="C102" s="60" t="s">
        <v>392</v>
      </c>
      <c r="D102" s="60" t="s">
        <v>377</v>
      </c>
      <c r="E102" s="60" t="s">
        <v>378</v>
      </c>
      <c r="F102" s="60" t="s">
        <v>105</v>
      </c>
      <c r="G102" s="60" t="s">
        <v>100</v>
      </c>
      <c r="H102" s="61">
        <v>48895</v>
      </c>
      <c r="I102" s="60" t="s">
        <v>379</v>
      </c>
      <c r="J102" s="61" t="s">
        <v>380</v>
      </c>
      <c r="K102" s="60" t="s">
        <v>381</v>
      </c>
      <c r="L102" s="62">
        <v>33855.5</v>
      </c>
      <c r="M102" s="60" t="s">
        <v>379</v>
      </c>
      <c r="N102" s="62">
        <v>0</v>
      </c>
      <c r="O102" s="60" t="s">
        <v>381</v>
      </c>
      <c r="P102" s="60" t="s">
        <v>382</v>
      </c>
      <c r="Q102" s="60" t="s">
        <v>383</v>
      </c>
      <c r="R102" s="60" t="s">
        <v>384</v>
      </c>
      <c r="T102" s="60" t="s">
        <v>385</v>
      </c>
      <c r="U102" s="60">
        <v>104006</v>
      </c>
      <c r="V102" s="60" t="s">
        <v>111</v>
      </c>
      <c r="X102" s="60" t="s">
        <v>441</v>
      </c>
      <c r="Y102" s="60" t="s">
        <v>95</v>
      </c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s="60" customFormat="1" ht="63.75" customHeight="1">
      <c r="A103" s="60">
        <v>10</v>
      </c>
      <c r="C103" s="60" t="s">
        <v>362</v>
      </c>
      <c r="D103" s="60" t="s">
        <v>377</v>
      </c>
      <c r="E103" s="60" t="s">
        <v>386</v>
      </c>
      <c r="F103" s="60" t="s">
        <v>105</v>
      </c>
      <c r="G103" s="60" t="s">
        <v>100</v>
      </c>
      <c r="H103" s="61">
        <v>43813</v>
      </c>
      <c r="I103" s="60" t="s">
        <v>387</v>
      </c>
      <c r="J103" s="61" t="s">
        <v>380</v>
      </c>
      <c r="K103" s="60" t="s">
        <v>388</v>
      </c>
      <c r="L103" s="62">
        <v>30669.1</v>
      </c>
      <c r="M103" s="60" t="s">
        <v>387</v>
      </c>
      <c r="N103" s="62">
        <v>0</v>
      </c>
      <c r="O103" s="60" t="s">
        <v>386</v>
      </c>
      <c r="P103" s="60" t="s">
        <v>389</v>
      </c>
      <c r="Q103" s="60" t="s">
        <v>390</v>
      </c>
      <c r="R103" s="60" t="s">
        <v>391</v>
      </c>
      <c r="T103" s="60" t="s">
        <v>385</v>
      </c>
      <c r="U103" s="60">
        <v>104006</v>
      </c>
      <c r="V103" s="60" t="s">
        <v>111</v>
      </c>
      <c r="X103" s="60" t="s">
        <v>442</v>
      </c>
      <c r="Y103" s="60" t="s">
        <v>95</v>
      </c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</row>
    <row r="104" spans="1:37" s="60" customFormat="1" ht="84" customHeight="1">
      <c r="A104" s="60">
        <v>11</v>
      </c>
      <c r="C104" s="60" t="s">
        <v>393</v>
      </c>
      <c r="D104" s="60" t="s">
        <v>377</v>
      </c>
      <c r="E104" s="60" t="s">
        <v>394</v>
      </c>
      <c r="F104" s="60" t="s">
        <v>105</v>
      </c>
      <c r="G104" s="60" t="s">
        <v>100</v>
      </c>
      <c r="H104" s="61">
        <v>77000</v>
      </c>
      <c r="I104" s="60" t="s">
        <v>379</v>
      </c>
      <c r="J104" s="61" t="s">
        <v>380</v>
      </c>
      <c r="K104" s="60" t="s">
        <v>395</v>
      </c>
      <c r="L104" s="61">
        <v>51000</v>
      </c>
      <c r="M104" s="60" t="s">
        <v>394</v>
      </c>
      <c r="N104" s="61">
        <v>0</v>
      </c>
      <c r="O104" s="60" t="s">
        <v>394</v>
      </c>
      <c r="Q104" s="60" t="s">
        <v>394</v>
      </c>
      <c r="R104" s="60" t="s">
        <v>396</v>
      </c>
      <c r="T104" s="60" t="s">
        <v>385</v>
      </c>
      <c r="U104" s="60">
        <v>104006</v>
      </c>
      <c r="V104" s="60" t="s">
        <v>111</v>
      </c>
      <c r="X104" s="60" t="s">
        <v>394</v>
      </c>
      <c r="Y104" s="60" t="s">
        <v>95</v>
      </c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</row>
    <row r="105" spans="1:37" s="60" customFormat="1" ht="98.25" customHeight="1">
      <c r="A105" s="60">
        <v>12</v>
      </c>
      <c r="C105" s="60" t="s">
        <v>397</v>
      </c>
      <c r="D105" s="60" t="s">
        <v>398</v>
      </c>
      <c r="E105" s="60" t="s">
        <v>399</v>
      </c>
      <c r="F105" s="60" t="s">
        <v>105</v>
      </c>
      <c r="G105" s="60" t="s">
        <v>100</v>
      </c>
      <c r="H105" s="61">
        <v>11380</v>
      </c>
      <c r="I105" s="60" t="s">
        <v>399</v>
      </c>
      <c r="J105" s="61">
        <v>11380</v>
      </c>
      <c r="K105" s="60" t="s">
        <v>399</v>
      </c>
      <c r="L105" s="61">
        <v>5690</v>
      </c>
      <c r="M105" s="60" t="s">
        <v>399</v>
      </c>
      <c r="N105" s="61">
        <v>5690</v>
      </c>
      <c r="O105" s="60" t="s">
        <v>399</v>
      </c>
      <c r="Q105" s="60" t="s">
        <v>400</v>
      </c>
      <c r="R105" s="60" t="s">
        <v>401</v>
      </c>
      <c r="T105" s="60" t="s">
        <v>385</v>
      </c>
      <c r="U105" s="60">
        <v>104006</v>
      </c>
      <c r="V105" s="60" t="s">
        <v>111</v>
      </c>
      <c r="X105" s="60" t="s">
        <v>400</v>
      </c>
      <c r="Y105" s="60" t="s">
        <v>95</v>
      </c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</sheetData>
  <sheetProtection/>
  <mergeCells count="119">
    <mergeCell ref="C9:C11"/>
    <mergeCell ref="E9:E11"/>
    <mergeCell ref="F9:F11"/>
    <mergeCell ref="Q8:Q11"/>
    <mergeCell ref="R8:R11"/>
    <mergeCell ref="T8:T11"/>
    <mergeCell ref="A6:P6"/>
    <mergeCell ref="A8:A11"/>
    <mergeCell ref="B8:C8"/>
    <mergeCell ref="D8:D11"/>
    <mergeCell ref="E8:G8"/>
    <mergeCell ref="S8:S11"/>
    <mergeCell ref="L8:O8"/>
    <mergeCell ref="J9:K10"/>
    <mergeCell ref="L9:M10"/>
    <mergeCell ref="B9:B11"/>
    <mergeCell ref="A1:P1"/>
    <mergeCell ref="A2:P2"/>
    <mergeCell ref="A3:P3"/>
    <mergeCell ref="A4:P4"/>
    <mergeCell ref="A5:P5"/>
    <mergeCell ref="G9:G11"/>
    <mergeCell ref="N9:O10"/>
    <mergeCell ref="H9:I10"/>
    <mergeCell ref="P8:P11"/>
    <mergeCell ref="H8:K8"/>
    <mergeCell ref="X14:X16"/>
    <mergeCell ref="U8:U11"/>
    <mergeCell ref="V8:V11"/>
    <mergeCell ref="W8:W11"/>
    <mergeCell ref="X8:X11"/>
    <mergeCell ref="Y14:Y16"/>
    <mergeCell ref="W14:W16"/>
    <mergeCell ref="Y8:Y11"/>
    <mergeCell ref="B14:B16"/>
    <mergeCell ref="C14:C16"/>
    <mergeCell ref="D14:D16"/>
    <mergeCell ref="E14:E16"/>
    <mergeCell ref="F14:F16"/>
    <mergeCell ref="G14:G16"/>
    <mergeCell ref="R14:R16"/>
    <mergeCell ref="T14:T16"/>
    <mergeCell ref="A53:E53"/>
    <mergeCell ref="L57:L68"/>
    <mergeCell ref="N57:N68"/>
    <mergeCell ref="X56:X68"/>
    <mergeCell ref="U56:U68"/>
    <mergeCell ref="A14:A16"/>
    <mergeCell ref="U14:U16"/>
    <mergeCell ref="V14:V16"/>
    <mergeCell ref="Q14:Q16"/>
    <mergeCell ref="S14:S16"/>
    <mergeCell ref="Y69:Y81"/>
    <mergeCell ref="P56:P68"/>
    <mergeCell ref="P69:P81"/>
    <mergeCell ref="Y56:Y68"/>
    <mergeCell ref="T69:T81"/>
    <mergeCell ref="R56:R68"/>
    <mergeCell ref="S56:S68"/>
    <mergeCell ref="X69:X81"/>
    <mergeCell ref="D56:D68"/>
    <mergeCell ref="W69:W81"/>
    <mergeCell ref="V56:V68"/>
    <mergeCell ref="W56:W68"/>
    <mergeCell ref="L70:L81"/>
    <mergeCell ref="N70:N81"/>
    <mergeCell ref="T56:T68"/>
    <mergeCell ref="Q56:Q68"/>
    <mergeCell ref="U69:U81"/>
    <mergeCell ref="V69:V81"/>
    <mergeCell ref="R69:R81"/>
    <mergeCell ref="S69:S81"/>
    <mergeCell ref="Q69:Q81"/>
    <mergeCell ref="Y82:Y94"/>
    <mergeCell ref="L83:L94"/>
    <mergeCell ref="N83:N94"/>
    <mergeCell ref="U82:U94"/>
    <mergeCell ref="P82:P94"/>
    <mergeCell ref="Q82:Q94"/>
    <mergeCell ref="R82:R94"/>
    <mergeCell ref="T82:T94"/>
    <mergeCell ref="P98:P99"/>
    <mergeCell ref="Y96:Y99"/>
    <mergeCell ref="V96:V99"/>
    <mergeCell ref="T96:T99"/>
    <mergeCell ref="U96:U99"/>
    <mergeCell ref="W96:W99"/>
    <mergeCell ref="S96:S99"/>
    <mergeCell ref="X96:X99"/>
    <mergeCell ref="A96:A99"/>
    <mergeCell ref="P96:P97"/>
    <mergeCell ref="A69:A81"/>
    <mergeCell ref="E69:E81"/>
    <mergeCell ref="W82:W94"/>
    <mergeCell ref="X82:X94"/>
    <mergeCell ref="Q96:Q99"/>
    <mergeCell ref="R96:R99"/>
    <mergeCell ref="S82:S94"/>
    <mergeCell ref="V82:V94"/>
    <mergeCell ref="A56:A68"/>
    <mergeCell ref="B56:B68"/>
    <mergeCell ref="F82:F95"/>
    <mergeCell ref="G82:G95"/>
    <mergeCell ref="B69:B81"/>
    <mergeCell ref="C69:C81"/>
    <mergeCell ref="F69:F81"/>
    <mergeCell ref="G69:G81"/>
    <mergeCell ref="E82:E95"/>
    <mergeCell ref="C56:C68"/>
    <mergeCell ref="A28:A30"/>
    <mergeCell ref="J28:J30"/>
    <mergeCell ref="A82:A95"/>
    <mergeCell ref="E56:E68"/>
    <mergeCell ref="F56:F68"/>
    <mergeCell ref="G56:G68"/>
    <mergeCell ref="D69:D81"/>
    <mergeCell ref="B82:B95"/>
    <mergeCell ref="C82:C95"/>
    <mergeCell ref="D82:D95"/>
  </mergeCells>
  <printOptions/>
  <pageMargins left="0.16" right="0.16" top="0.19" bottom="1" header="0.16" footer="0.5"/>
  <pageSetup horizontalDpi="600" verticalDpi="600" orientation="landscape" scale="30" r:id="rId3"/>
  <rowBreaks count="2" manualBreakCount="2">
    <brk id="32" max="36" man="1"/>
    <brk id="53" max="255" man="1"/>
  </rowBreaks>
  <colBreaks count="1" manualBreakCount="1"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Harutyunyan</cp:lastModifiedBy>
  <cp:lastPrinted>2014-11-04T08:39:35Z</cp:lastPrinted>
  <dcterms:created xsi:type="dcterms:W3CDTF">1996-10-14T23:33:28Z</dcterms:created>
  <dcterms:modified xsi:type="dcterms:W3CDTF">2015-02-04T12:13:31Z</dcterms:modified>
  <cp:category/>
  <cp:version/>
  <cp:contentType/>
  <cp:contentStatus/>
</cp:coreProperties>
</file>